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БСТ\Приказ 125-ОД\"/>
    </mc:Choice>
  </mc:AlternateContent>
  <xr:revisionPtr revIDLastSave="0" documentId="13_ncr:1_{8B1A6794-A023-4A86-8344-558507B91E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№1" sheetId="1" r:id="rId1"/>
    <sheet name="Приложение №2" sheetId="2" r:id="rId2"/>
    <sheet name="Лист1" sheetId="3" state="hidden" r:id="rId3"/>
  </sheets>
  <definedNames>
    <definedName name="_xlnm._FilterDatabase" localSheetId="0" hidden="1">'Приложение №1'!$A$12:$BR$851</definedName>
    <definedName name="_xlnm._FilterDatabase" localSheetId="1" hidden="1">'Приложение №2'!$A$12:$BR$851</definedName>
    <definedName name="_xlnm.Print_Area" localSheetId="0">'Приложение №1'!$A$1:$BL$851</definedName>
    <definedName name="_xlnm.Print_Area" localSheetId="1">'Приложение №2'!$A$1:$T$851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1" i="2" l="1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T682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T663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T618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B604" i="2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E603" i="2"/>
  <c r="B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M528" i="2"/>
  <c r="E528" i="2"/>
  <c r="M527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B492" i="2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1" i="2" s="1"/>
  <c r="E491" i="2"/>
  <c r="E490" i="2"/>
  <c r="T489" i="2"/>
  <c r="E489" i="2" s="1"/>
  <c r="E488" i="2"/>
  <c r="E487" i="2"/>
  <c r="E486" i="2"/>
  <c r="E485" i="2"/>
  <c r="A485" i="2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E484" i="2"/>
  <c r="A484" i="2"/>
  <c r="E483" i="2"/>
  <c r="A483" i="2"/>
  <c r="E482" i="2"/>
  <c r="B482" i="2"/>
  <c r="B483" i="2" s="1"/>
  <c r="B484" i="2" s="1"/>
  <c r="B485" i="2" s="1"/>
  <c r="B486" i="2" s="1"/>
  <c r="B487" i="2" s="1"/>
  <c r="B488" i="2" s="1"/>
  <c r="B489" i="2" s="1"/>
  <c r="B490" i="2" s="1"/>
  <c r="B491" i="2" s="1"/>
  <c r="S481" i="2"/>
  <c r="R481" i="2"/>
  <c r="Q481" i="2"/>
  <c r="P481" i="2"/>
  <c r="O481" i="2"/>
  <c r="N481" i="2"/>
  <c r="M481" i="2"/>
  <c r="L481" i="2"/>
  <c r="K481" i="2"/>
  <c r="J481" i="2"/>
  <c r="I481" i="2"/>
  <c r="H481" i="2"/>
  <c r="G481" i="2"/>
  <c r="F481" i="2"/>
  <c r="E480" i="2"/>
  <c r="E479" i="2"/>
  <c r="E478" i="2"/>
  <c r="E477" i="2"/>
  <c r="E476" i="2"/>
  <c r="E475" i="2"/>
  <c r="E474" i="2"/>
  <c r="E473" i="2"/>
  <c r="E472" i="2"/>
  <c r="E471" i="2"/>
  <c r="E470" i="2"/>
  <c r="B470" i="2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B441" i="2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E440" i="2"/>
  <c r="E439" i="2"/>
  <c r="B439" i="2"/>
  <c r="E438" i="2"/>
  <c r="E437" i="2"/>
  <c r="E436" i="2"/>
  <c r="E435" i="2"/>
  <c r="E434" i="2"/>
  <c r="E433" i="2"/>
  <c r="E432" i="2"/>
  <c r="E431" i="2"/>
  <c r="E430" i="2"/>
  <c r="E429" i="2"/>
  <c r="T428" i="2"/>
  <c r="T380" i="2" s="1"/>
  <c r="E427" i="2"/>
  <c r="E426" i="2"/>
  <c r="E425" i="2"/>
  <c r="E424" i="2"/>
  <c r="E423" i="2"/>
  <c r="E422" i="2"/>
  <c r="E421" i="2"/>
  <c r="B421" i="2"/>
  <c r="B422" i="2" s="1"/>
  <c r="E420" i="2"/>
  <c r="B420" i="2"/>
  <c r="E419" i="2"/>
  <c r="E418" i="2"/>
  <c r="E417" i="2"/>
  <c r="E416" i="2"/>
  <c r="E415" i="2"/>
  <c r="E414" i="2"/>
  <c r="E413" i="2"/>
  <c r="T412" i="2"/>
  <c r="E412" i="2"/>
  <c r="E411" i="2"/>
  <c r="E410" i="2"/>
  <c r="E409" i="2"/>
  <c r="E408" i="2"/>
  <c r="B408" i="2"/>
  <c r="E407" i="2"/>
  <c r="A407" i="2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E406" i="2"/>
  <c r="E405" i="2"/>
  <c r="E404" i="2"/>
  <c r="E403" i="2"/>
  <c r="E402" i="2"/>
  <c r="B402" i="2"/>
  <c r="B403" i="2" s="1"/>
  <c r="B404" i="2" s="1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B383" i="2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E382" i="2"/>
  <c r="A382" i="2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E381" i="2"/>
  <c r="S380" i="2"/>
  <c r="R380" i="2"/>
  <c r="Q380" i="2"/>
  <c r="P380" i="2"/>
  <c r="O380" i="2"/>
  <c r="N380" i="2"/>
  <c r="M380" i="2"/>
  <c r="L380" i="2"/>
  <c r="K380" i="2"/>
  <c r="J380" i="2"/>
  <c r="I380" i="2"/>
  <c r="H380" i="2"/>
  <c r="G380" i="2"/>
  <c r="F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T315" i="2"/>
  <c r="E315" i="2"/>
  <c r="T314" i="2"/>
  <c r="E314" i="2" s="1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T297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T265" i="2"/>
  <c r="E264" i="2"/>
  <c r="E263" i="2"/>
  <c r="B263" i="2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B231" i="2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T214" i="2"/>
  <c r="E214" i="2"/>
  <c r="E213" i="2"/>
  <c r="E212" i="2"/>
  <c r="E211" i="2"/>
  <c r="E210" i="2"/>
  <c r="B210" i="2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E209" i="2"/>
  <c r="B209" i="2"/>
  <c r="E208" i="2"/>
  <c r="S207" i="2"/>
  <c r="S206" i="2" s="1"/>
  <c r="R207" i="2"/>
  <c r="Q207" i="2"/>
  <c r="P207" i="2"/>
  <c r="O207" i="2"/>
  <c r="N207" i="2"/>
  <c r="M207" i="2"/>
  <c r="L207" i="2"/>
  <c r="K207" i="2"/>
  <c r="K206" i="2" s="1"/>
  <c r="K13" i="2" s="1"/>
  <c r="J207" i="2"/>
  <c r="I207" i="2"/>
  <c r="H207" i="2"/>
  <c r="H206" i="2" s="1"/>
  <c r="G207" i="2"/>
  <c r="F207" i="2"/>
  <c r="R206" i="2"/>
  <c r="Q206" i="2"/>
  <c r="P206" i="2"/>
  <c r="O206" i="2"/>
  <c r="N206" i="2"/>
  <c r="M206" i="2"/>
  <c r="L206" i="2"/>
  <c r="J206" i="2"/>
  <c r="I206" i="2"/>
  <c r="G206" i="2"/>
  <c r="F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P165" i="2"/>
  <c r="E165" i="2" s="1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A86" i="2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E85" i="2"/>
  <c r="E84" i="2"/>
  <c r="E83" i="2"/>
  <c r="E82" i="2"/>
  <c r="E81" i="2"/>
  <c r="E80" i="2"/>
  <c r="E79" i="2"/>
  <c r="Q78" i="2"/>
  <c r="E78" i="2"/>
  <c r="E77" i="2"/>
  <c r="E76" i="2"/>
  <c r="E75" i="2"/>
  <c r="S74" i="2"/>
  <c r="E74" i="2" s="1"/>
  <c r="E73" i="2"/>
  <c r="E72" i="2"/>
  <c r="E71" i="2"/>
  <c r="E70" i="2"/>
  <c r="J69" i="2"/>
  <c r="E69" i="2" s="1"/>
  <c r="E68" i="2"/>
  <c r="E67" i="2"/>
  <c r="E66" i="2"/>
  <c r="S65" i="2"/>
  <c r="S17" i="2" s="1"/>
  <c r="S14" i="2" s="1"/>
  <c r="S13" i="2" s="1"/>
  <c r="E65" i="2"/>
  <c r="E64" i="2"/>
  <c r="E63" i="2"/>
  <c r="E62" i="2"/>
  <c r="S61" i="2"/>
  <c r="E61" i="2" s="1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R27" i="2"/>
  <c r="R17" i="2" s="1"/>
  <c r="R14" i="2" s="1"/>
  <c r="R13" i="2" s="1"/>
  <c r="E26" i="2"/>
  <c r="E25" i="2"/>
  <c r="E24" i="2"/>
  <c r="A24" i="2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E23" i="2"/>
  <c r="E22" i="2"/>
  <c r="E21" i="2"/>
  <c r="B21" i="2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E20" i="2"/>
  <c r="B20" i="2"/>
  <c r="E19" i="2"/>
  <c r="B19" i="2"/>
  <c r="A19" i="2"/>
  <c r="A20" i="2" s="1"/>
  <c r="A21" i="2" s="1"/>
  <c r="A22" i="2" s="1"/>
  <c r="A23" i="2" s="1"/>
  <c r="E18" i="2"/>
  <c r="T17" i="2"/>
  <c r="T14" i="2" s="1"/>
  <c r="Q17" i="2"/>
  <c r="Q14" i="2" s="1"/>
  <c r="Q13" i="2" s="1"/>
  <c r="P17" i="2"/>
  <c r="O17" i="2"/>
  <c r="N17" i="2"/>
  <c r="M17" i="2"/>
  <c r="L17" i="2"/>
  <c r="L14" i="2" s="1"/>
  <c r="L13" i="2" s="1"/>
  <c r="K17" i="2"/>
  <c r="J17" i="2"/>
  <c r="I17" i="2"/>
  <c r="I14" i="2" s="1"/>
  <c r="I13" i="2" s="1"/>
  <c r="H17" i="2"/>
  <c r="H14" i="2" s="1"/>
  <c r="H13" i="2" s="1"/>
  <c r="G17" i="2"/>
  <c r="F17" i="2"/>
  <c r="E16" i="2"/>
  <c r="E14" i="2" s="1"/>
  <c r="P14" i="2"/>
  <c r="O14" i="2"/>
  <c r="N14" i="2"/>
  <c r="M14" i="2"/>
  <c r="M13" i="2" s="1"/>
  <c r="K14" i="2"/>
  <c r="J14" i="2"/>
  <c r="G14" i="2"/>
  <c r="F14" i="2"/>
  <c r="P13" i="2"/>
  <c r="O13" i="2"/>
  <c r="N13" i="2"/>
  <c r="J13" i="2"/>
  <c r="G13" i="2"/>
  <c r="F13" i="2"/>
  <c r="BM851" i="1"/>
  <c r="AW851" i="1"/>
  <c r="AS851" i="1"/>
  <c r="AT851" i="1" s="1"/>
  <c r="AR851" i="1"/>
  <c r="AP851" i="1"/>
  <c r="Z851" i="1"/>
  <c r="BM850" i="1"/>
  <c r="AW850" i="1"/>
  <c r="AS850" i="1"/>
  <c r="AT850" i="1" s="1"/>
  <c r="AR850" i="1"/>
  <c r="AP850" i="1"/>
  <c r="Z850" i="1"/>
  <c r="BM849" i="1"/>
  <c r="AW849" i="1"/>
  <c r="AS849" i="1"/>
  <c r="AT849" i="1" s="1"/>
  <c r="AR849" i="1"/>
  <c r="AQ849" i="1"/>
  <c r="AP849" i="1"/>
  <c r="Z849" i="1"/>
  <c r="BM848" i="1"/>
  <c r="AW848" i="1"/>
  <c r="AS848" i="1"/>
  <c r="AT848" i="1" s="1"/>
  <c r="AR848" i="1"/>
  <c r="AQ848" i="1"/>
  <c r="AP848" i="1"/>
  <c r="Z848" i="1"/>
  <c r="BM847" i="1"/>
  <c r="AW847" i="1"/>
  <c r="AT847" i="1"/>
  <c r="AS847" i="1"/>
  <c r="AR847" i="1"/>
  <c r="AQ847" i="1"/>
  <c r="AP847" i="1"/>
  <c r="Z847" i="1"/>
  <c r="BM846" i="1"/>
  <c r="AW846" i="1"/>
  <c r="AT846" i="1"/>
  <c r="AS846" i="1"/>
  <c r="AR846" i="1"/>
  <c r="AQ846" i="1"/>
  <c r="AP846" i="1"/>
  <c r="Z846" i="1"/>
  <c r="BM845" i="1"/>
  <c r="AW845" i="1"/>
  <c r="AS845" i="1"/>
  <c r="AT845" i="1" s="1"/>
  <c r="AR845" i="1"/>
  <c r="AP845" i="1"/>
  <c r="Z845" i="1"/>
  <c r="BM844" i="1"/>
  <c r="AW844" i="1"/>
  <c r="AS844" i="1"/>
  <c r="AT844" i="1" s="1"/>
  <c r="AR844" i="1"/>
  <c r="AQ844" i="1"/>
  <c r="AP844" i="1"/>
  <c r="Z844" i="1"/>
  <c r="BM843" i="1"/>
  <c r="AW843" i="1"/>
  <c r="AT843" i="1"/>
  <c r="AR843" i="1"/>
  <c r="AP843" i="1"/>
  <c r="Z843" i="1"/>
  <c r="BM842" i="1"/>
  <c r="AW842" i="1"/>
  <c r="AT842" i="1"/>
  <c r="AR842" i="1"/>
  <c r="AP842" i="1"/>
  <c r="Z842" i="1"/>
  <c r="BM841" i="1"/>
  <c r="AW841" i="1"/>
  <c r="AT841" i="1"/>
  <c r="AS841" i="1"/>
  <c r="AR841" i="1"/>
  <c r="AQ841" i="1"/>
  <c r="AP841" i="1"/>
  <c r="Z841" i="1"/>
  <c r="BM840" i="1"/>
  <c r="AW840" i="1"/>
  <c r="AS840" i="1"/>
  <c r="AR840" i="1"/>
  <c r="AQ840" i="1"/>
  <c r="AP840" i="1"/>
  <c r="BM839" i="1"/>
  <c r="AW839" i="1"/>
  <c r="AS839" i="1"/>
  <c r="AT839" i="1" s="1"/>
  <c r="AR839" i="1"/>
  <c r="AP839" i="1"/>
  <c r="Z839" i="1"/>
  <c r="BM838" i="1"/>
  <c r="AW838" i="1"/>
  <c r="AS838" i="1"/>
  <c r="AT838" i="1" s="1"/>
  <c r="AR838" i="1"/>
  <c r="AQ838" i="1"/>
  <c r="AP838" i="1"/>
  <c r="Z838" i="1"/>
  <c r="BM837" i="1"/>
  <c r="AW837" i="1"/>
  <c r="AS837" i="1"/>
  <c r="AT837" i="1" s="1"/>
  <c r="AR837" i="1"/>
  <c r="AQ837" i="1"/>
  <c r="AP837" i="1"/>
  <c r="Z837" i="1"/>
  <c r="BM836" i="1"/>
  <c r="AW836" i="1"/>
  <c r="AT836" i="1"/>
  <c r="AS836" i="1"/>
  <c r="AR836" i="1"/>
  <c r="AQ836" i="1"/>
  <c r="AP836" i="1"/>
  <c r="Z836" i="1"/>
  <c r="BM835" i="1"/>
  <c r="AW835" i="1"/>
  <c r="AS835" i="1"/>
  <c r="AT835" i="1" s="1"/>
  <c r="AR835" i="1"/>
  <c r="AP835" i="1"/>
  <c r="Z835" i="1"/>
  <c r="BM834" i="1"/>
  <c r="AW834" i="1"/>
  <c r="AT834" i="1"/>
  <c r="AS834" i="1"/>
  <c r="AR834" i="1"/>
  <c r="AQ834" i="1"/>
  <c r="AP834" i="1"/>
  <c r="Z834" i="1"/>
  <c r="CA833" i="1"/>
  <c r="BM833" i="1" s="1"/>
  <c r="BK833" i="1"/>
  <c r="AW833" i="1" s="1"/>
  <c r="AT833" i="1"/>
  <c r="AS833" i="1"/>
  <c r="AR833" i="1"/>
  <c r="AP833" i="1"/>
  <c r="Z833" i="1"/>
  <c r="BM832" i="1"/>
  <c r="AW832" i="1"/>
  <c r="AT832" i="1"/>
  <c r="AS832" i="1"/>
  <c r="AR832" i="1"/>
  <c r="AP832" i="1"/>
  <c r="Z832" i="1"/>
  <c r="BM831" i="1"/>
  <c r="AW831" i="1"/>
  <c r="AT831" i="1"/>
  <c r="AS831" i="1"/>
  <c r="AR831" i="1"/>
  <c r="AQ831" i="1"/>
  <c r="AP831" i="1"/>
  <c r="Z831" i="1"/>
  <c r="BM830" i="1"/>
  <c r="AW830" i="1"/>
  <c r="AS830" i="1"/>
  <c r="AT830" i="1" s="1"/>
  <c r="AR830" i="1"/>
  <c r="AQ830" i="1"/>
  <c r="AP830" i="1"/>
  <c r="Y830" i="1"/>
  <c r="BM829" i="1"/>
  <c r="AW829" i="1"/>
  <c r="AS829" i="1"/>
  <c r="AT829" i="1" s="1"/>
  <c r="AR829" i="1"/>
  <c r="AQ829" i="1"/>
  <c r="AP829" i="1"/>
  <c r="Y829" i="1"/>
  <c r="BM828" i="1"/>
  <c r="AW828" i="1"/>
  <c r="AT828" i="1"/>
  <c r="AS828" i="1"/>
  <c r="AR828" i="1"/>
  <c r="AQ828" i="1"/>
  <c r="AP828" i="1"/>
  <c r="Y828" i="1"/>
  <c r="BM827" i="1"/>
  <c r="AW827" i="1"/>
  <c r="AS827" i="1"/>
  <c r="AT827" i="1" s="1"/>
  <c r="AR827" i="1"/>
  <c r="AQ827" i="1"/>
  <c r="AP827" i="1"/>
  <c r="Y827" i="1"/>
  <c r="BM826" i="1"/>
  <c r="AW826" i="1"/>
  <c r="AS826" i="1"/>
  <c r="AT826" i="1" s="1"/>
  <c r="AR826" i="1"/>
  <c r="AP826" i="1"/>
  <c r="Z826" i="1"/>
  <c r="BM825" i="1"/>
  <c r="AW825" i="1"/>
  <c r="AT825" i="1"/>
  <c r="AS825" i="1"/>
  <c r="AR825" i="1"/>
  <c r="AP825" i="1"/>
  <c r="Z825" i="1"/>
  <c r="BM824" i="1"/>
  <c r="AW824" i="1"/>
  <c r="AS824" i="1"/>
  <c r="AT824" i="1" s="1"/>
  <c r="AR824" i="1"/>
  <c r="AP824" i="1"/>
  <c r="Z824" i="1"/>
  <c r="BM823" i="1"/>
  <c r="AW823" i="1"/>
  <c r="AT823" i="1"/>
  <c r="AS823" i="1"/>
  <c r="AR823" i="1"/>
  <c r="AP823" i="1"/>
  <c r="Z823" i="1"/>
  <c r="BM822" i="1"/>
  <c r="AW822" i="1"/>
  <c r="AS822" i="1"/>
  <c r="AT822" i="1" s="1"/>
  <c r="AR822" i="1"/>
  <c r="AP822" i="1"/>
  <c r="Z822" i="1"/>
  <c r="BM821" i="1"/>
  <c r="AW821" i="1"/>
  <c r="AT821" i="1"/>
  <c r="AS821" i="1"/>
  <c r="AR821" i="1"/>
  <c r="AQ821" i="1"/>
  <c r="AP821" i="1"/>
  <c r="Z821" i="1"/>
  <c r="BM820" i="1"/>
  <c r="AW820" i="1"/>
  <c r="AS820" i="1"/>
  <c r="AT820" i="1" s="1"/>
  <c r="AR820" i="1"/>
  <c r="AQ820" i="1"/>
  <c r="AP820" i="1"/>
  <c r="Z820" i="1"/>
  <c r="BM819" i="1"/>
  <c r="AW819" i="1"/>
  <c r="AS819" i="1"/>
  <c r="AT819" i="1" s="1"/>
  <c r="AR819" i="1"/>
  <c r="AP819" i="1"/>
  <c r="Z819" i="1"/>
  <c r="BM818" i="1"/>
  <c r="AW818" i="1"/>
  <c r="AS818" i="1"/>
  <c r="AT818" i="1" s="1"/>
  <c r="AR818" i="1"/>
  <c r="AP818" i="1"/>
  <c r="Z818" i="1"/>
  <c r="BM817" i="1"/>
  <c r="AW817" i="1"/>
  <c r="AS817" i="1"/>
  <c r="AT817" i="1" s="1"/>
  <c r="AR817" i="1"/>
  <c r="AQ817" i="1"/>
  <c r="AP817" i="1"/>
  <c r="Z817" i="1"/>
  <c r="BM816" i="1"/>
  <c r="AW816" i="1"/>
  <c r="AT816" i="1"/>
  <c r="AS816" i="1"/>
  <c r="AR816" i="1"/>
  <c r="AQ816" i="1"/>
  <c r="AP816" i="1"/>
  <c r="Z816" i="1"/>
  <c r="BM815" i="1"/>
  <c r="AW815" i="1"/>
  <c r="AS815" i="1"/>
  <c r="AT815" i="1" s="1"/>
  <c r="AR815" i="1"/>
  <c r="AQ815" i="1"/>
  <c r="AP815" i="1"/>
  <c r="Z815" i="1"/>
  <c r="BM814" i="1"/>
  <c r="AW814" i="1"/>
  <c r="AT814" i="1"/>
  <c r="AS814" i="1"/>
  <c r="AR814" i="1"/>
  <c r="AQ814" i="1"/>
  <c r="AP814" i="1"/>
  <c r="Z814" i="1"/>
  <c r="BM813" i="1"/>
  <c r="AW813" i="1"/>
  <c r="AS813" i="1"/>
  <c r="AT813" i="1" s="1"/>
  <c r="AR813" i="1"/>
  <c r="AP813" i="1"/>
  <c r="Z813" i="1"/>
  <c r="BM812" i="1"/>
  <c r="AW812" i="1"/>
  <c r="AS812" i="1"/>
  <c r="AT812" i="1" s="1"/>
  <c r="AR812" i="1"/>
  <c r="AP812" i="1"/>
  <c r="Z812" i="1"/>
  <c r="BM811" i="1"/>
  <c r="AW811" i="1"/>
  <c r="AS811" i="1"/>
  <c r="AR811" i="1"/>
  <c r="BM810" i="1"/>
  <c r="AW810" i="1"/>
  <c r="AS810" i="1"/>
  <c r="AT810" i="1" s="1"/>
  <c r="AR810" i="1"/>
  <c r="AQ810" i="1"/>
  <c r="AP810" i="1"/>
  <c r="Z810" i="1"/>
  <c r="BM809" i="1"/>
  <c r="AW809" i="1"/>
  <c r="AS809" i="1"/>
  <c r="AT809" i="1" s="1"/>
  <c r="AR809" i="1"/>
  <c r="AQ809" i="1"/>
  <c r="AP809" i="1"/>
  <c r="Z809" i="1"/>
  <c r="BM808" i="1"/>
  <c r="AW808" i="1"/>
  <c r="AS808" i="1"/>
  <c r="AT808" i="1" s="1"/>
  <c r="AR808" i="1"/>
  <c r="AQ808" i="1"/>
  <c r="AP808" i="1"/>
  <c r="Z808" i="1"/>
  <c r="BM807" i="1"/>
  <c r="AW807" i="1"/>
  <c r="AT807" i="1"/>
  <c r="AS807" i="1"/>
  <c r="AR807" i="1"/>
  <c r="AQ807" i="1"/>
  <c r="AP807" i="1"/>
  <c r="Z807" i="1"/>
  <c r="BM806" i="1"/>
  <c r="AW806" i="1"/>
  <c r="AT806" i="1"/>
  <c r="AS806" i="1"/>
  <c r="AR806" i="1"/>
  <c r="AP806" i="1"/>
  <c r="Z806" i="1"/>
  <c r="BM805" i="1"/>
  <c r="AW805" i="1"/>
  <c r="AS805" i="1"/>
  <c r="AT805" i="1" s="1"/>
  <c r="AR805" i="1"/>
  <c r="AP805" i="1"/>
  <c r="Z805" i="1"/>
  <c r="BM804" i="1"/>
  <c r="AW804" i="1"/>
  <c r="AT804" i="1"/>
  <c r="AS804" i="1"/>
  <c r="AR804" i="1"/>
  <c r="AP804" i="1"/>
  <c r="Z804" i="1"/>
  <c r="BM803" i="1"/>
  <c r="AW803" i="1"/>
  <c r="AS803" i="1"/>
  <c r="AT803" i="1" s="1"/>
  <c r="AR803" i="1"/>
  <c r="AP803" i="1"/>
  <c r="Y803" i="1"/>
  <c r="BM802" i="1"/>
  <c r="AW802" i="1"/>
  <c r="AS802" i="1"/>
  <c r="AT802" i="1" s="1"/>
  <c r="AR802" i="1"/>
  <c r="AP802" i="1"/>
  <c r="Z802" i="1"/>
  <c r="BM801" i="1"/>
  <c r="AW801" i="1"/>
  <c r="AS801" i="1"/>
  <c r="AT801" i="1" s="1"/>
  <c r="AR801" i="1"/>
  <c r="AP801" i="1"/>
  <c r="Z801" i="1"/>
  <c r="BM800" i="1"/>
  <c r="AW800" i="1"/>
  <c r="AS800" i="1"/>
  <c r="AT800" i="1" s="1"/>
  <c r="AR800" i="1"/>
  <c r="AP800" i="1"/>
  <c r="Z800" i="1"/>
  <c r="BM799" i="1"/>
  <c r="AW799" i="1"/>
  <c r="AS799" i="1"/>
  <c r="AT799" i="1" s="1"/>
  <c r="AR799" i="1"/>
  <c r="AP799" i="1"/>
  <c r="Z799" i="1"/>
  <c r="BM798" i="1"/>
  <c r="AW798" i="1"/>
  <c r="AS798" i="1"/>
  <c r="AT798" i="1" s="1"/>
  <c r="AR798" i="1"/>
  <c r="AP798" i="1"/>
  <c r="Z798" i="1"/>
  <c r="BM797" i="1"/>
  <c r="AW797" i="1"/>
  <c r="AS797" i="1"/>
  <c r="AT797" i="1" s="1"/>
  <c r="AR797" i="1"/>
  <c r="AP797" i="1"/>
  <c r="Z797" i="1"/>
  <c r="BM796" i="1"/>
  <c r="AW796" i="1"/>
  <c r="AS796" i="1"/>
  <c r="AT796" i="1" s="1"/>
  <c r="AR796" i="1"/>
  <c r="AQ796" i="1"/>
  <c r="AP796" i="1"/>
  <c r="Z796" i="1"/>
  <c r="BM795" i="1"/>
  <c r="AW795" i="1"/>
  <c r="AS795" i="1"/>
  <c r="AT795" i="1" s="1"/>
  <c r="AR795" i="1"/>
  <c r="AP795" i="1"/>
  <c r="Z795" i="1"/>
  <c r="BM794" i="1"/>
  <c r="AW794" i="1"/>
  <c r="AS794" i="1"/>
  <c r="AT794" i="1" s="1"/>
  <c r="AR794" i="1"/>
  <c r="AQ794" i="1"/>
  <c r="AP794" i="1"/>
  <c r="Z794" i="1"/>
  <c r="BM793" i="1"/>
  <c r="AW793" i="1"/>
  <c r="AS793" i="1"/>
  <c r="AT793" i="1" s="1"/>
  <c r="AR793" i="1"/>
  <c r="AQ793" i="1"/>
  <c r="AP793" i="1"/>
  <c r="Z793" i="1"/>
  <c r="BM792" i="1"/>
  <c r="AW792" i="1"/>
  <c r="AS792" i="1"/>
  <c r="AT792" i="1" s="1"/>
  <c r="AR792" i="1"/>
  <c r="AP792" i="1"/>
  <c r="Z792" i="1"/>
  <c r="BM791" i="1"/>
  <c r="AW791" i="1"/>
  <c r="AT791" i="1"/>
  <c r="AS791" i="1"/>
  <c r="AR791" i="1"/>
  <c r="AP791" i="1"/>
  <c r="Z791" i="1"/>
  <c r="BM790" i="1"/>
  <c r="AW790" i="1"/>
  <c r="AS790" i="1"/>
  <c r="AT790" i="1" s="1"/>
  <c r="AR790" i="1"/>
  <c r="AP790" i="1"/>
  <c r="Z790" i="1"/>
  <c r="BM789" i="1"/>
  <c r="AW789" i="1"/>
  <c r="AT789" i="1"/>
  <c r="AS789" i="1"/>
  <c r="AR789" i="1"/>
  <c r="AQ789" i="1"/>
  <c r="AP789" i="1"/>
  <c r="Z789" i="1"/>
  <c r="BM788" i="1"/>
  <c r="AW788" i="1"/>
  <c r="AS788" i="1"/>
  <c r="AT788" i="1" s="1"/>
  <c r="AR788" i="1"/>
  <c r="AP788" i="1"/>
  <c r="Z788" i="1"/>
  <c r="BM787" i="1"/>
  <c r="AW787" i="1"/>
  <c r="AS787" i="1"/>
  <c r="AT787" i="1" s="1"/>
  <c r="AR787" i="1"/>
  <c r="AP787" i="1"/>
  <c r="BM786" i="1"/>
  <c r="AW786" i="1"/>
  <c r="AT786" i="1"/>
  <c r="AS786" i="1"/>
  <c r="AR786" i="1"/>
  <c r="AQ786" i="1"/>
  <c r="AP786" i="1"/>
  <c r="Z786" i="1"/>
  <c r="BM785" i="1"/>
  <c r="AW785" i="1"/>
  <c r="AS785" i="1"/>
  <c r="AT785" i="1" s="1"/>
  <c r="AR785" i="1"/>
  <c r="AQ785" i="1"/>
  <c r="AP785" i="1"/>
  <c r="Z785" i="1"/>
  <c r="BM784" i="1"/>
  <c r="AW784" i="1"/>
  <c r="AT784" i="1"/>
  <c r="AS784" i="1"/>
  <c r="AR784" i="1"/>
  <c r="AP784" i="1"/>
  <c r="Z784" i="1"/>
  <c r="BM783" i="1"/>
  <c r="AW783" i="1"/>
  <c r="AS783" i="1"/>
  <c r="AT783" i="1" s="1"/>
  <c r="AR783" i="1"/>
  <c r="AP783" i="1"/>
  <c r="Z783" i="1"/>
  <c r="BM782" i="1"/>
  <c r="AW782" i="1"/>
  <c r="AT782" i="1"/>
  <c r="AS782" i="1"/>
  <c r="AR782" i="1"/>
  <c r="AQ782" i="1"/>
  <c r="AP782" i="1"/>
  <c r="Z782" i="1"/>
  <c r="BM781" i="1"/>
  <c r="AW781" i="1"/>
  <c r="AT781" i="1"/>
  <c r="AS781" i="1"/>
  <c r="AR781" i="1"/>
  <c r="AQ781" i="1"/>
  <c r="AP781" i="1"/>
  <c r="Z781" i="1"/>
  <c r="BM780" i="1"/>
  <c r="AW780" i="1"/>
  <c r="AS780" i="1"/>
  <c r="AT780" i="1" s="1"/>
  <c r="AR780" i="1"/>
  <c r="AQ780" i="1"/>
  <c r="AP780" i="1"/>
  <c r="Z780" i="1"/>
  <c r="BM779" i="1"/>
  <c r="AW779" i="1"/>
  <c r="AS779" i="1"/>
  <c r="AT779" i="1" s="1"/>
  <c r="AR779" i="1"/>
  <c r="AP779" i="1"/>
  <c r="Z779" i="1"/>
  <c r="BM778" i="1"/>
  <c r="AW778" i="1"/>
  <c r="AT778" i="1"/>
  <c r="AS778" i="1"/>
  <c r="AR778" i="1"/>
  <c r="AQ778" i="1"/>
  <c r="AP778" i="1"/>
  <c r="Z778" i="1"/>
  <c r="BM777" i="1"/>
  <c r="AW777" i="1"/>
  <c r="AT777" i="1"/>
  <c r="AS777" i="1"/>
  <c r="AR777" i="1"/>
  <c r="AQ777" i="1"/>
  <c r="AP777" i="1"/>
  <c r="Z777" i="1"/>
  <c r="BM776" i="1"/>
  <c r="AW776" i="1"/>
  <c r="AT776" i="1"/>
  <c r="AS776" i="1"/>
  <c r="AR776" i="1"/>
  <c r="AQ776" i="1"/>
  <c r="AP776" i="1"/>
  <c r="Z776" i="1"/>
  <c r="BM775" i="1"/>
  <c r="AW775" i="1"/>
  <c r="AS775" i="1"/>
  <c r="AT775" i="1" s="1"/>
  <c r="AR775" i="1"/>
  <c r="AQ775" i="1"/>
  <c r="AP775" i="1"/>
  <c r="Z775" i="1"/>
  <c r="BM774" i="1"/>
  <c r="AW774" i="1"/>
  <c r="AS774" i="1"/>
  <c r="AT774" i="1" s="1"/>
  <c r="AR774" i="1"/>
  <c r="AQ774" i="1"/>
  <c r="AP774" i="1"/>
  <c r="Z774" i="1"/>
  <c r="BM773" i="1"/>
  <c r="AW773" i="1"/>
  <c r="AT773" i="1"/>
  <c r="AS773" i="1"/>
  <c r="AR773" i="1"/>
  <c r="AQ773" i="1"/>
  <c r="AP773" i="1"/>
  <c r="Z773" i="1"/>
  <c r="BM772" i="1"/>
  <c r="AW772" i="1"/>
  <c r="AS772" i="1"/>
  <c r="AT772" i="1" s="1"/>
  <c r="AR772" i="1"/>
  <c r="AP772" i="1"/>
  <c r="Z772" i="1"/>
  <c r="BM771" i="1"/>
  <c r="AW771" i="1"/>
  <c r="AT771" i="1"/>
  <c r="AS771" i="1"/>
  <c r="AR771" i="1"/>
  <c r="AQ771" i="1"/>
  <c r="AP771" i="1"/>
  <c r="Z771" i="1"/>
  <c r="BM770" i="1"/>
  <c r="AW770" i="1"/>
  <c r="AS770" i="1"/>
  <c r="AT770" i="1" s="1"/>
  <c r="AR770" i="1"/>
  <c r="AQ770" i="1"/>
  <c r="AP770" i="1"/>
  <c r="Z770" i="1"/>
  <c r="BM769" i="1"/>
  <c r="AW769" i="1"/>
  <c r="AS769" i="1"/>
  <c r="AT769" i="1" s="1"/>
  <c r="AR769" i="1"/>
  <c r="AQ769" i="1"/>
  <c r="AP769" i="1"/>
  <c r="Z769" i="1"/>
  <c r="BM768" i="1"/>
  <c r="AW768" i="1"/>
  <c r="AS768" i="1"/>
  <c r="AT768" i="1" s="1"/>
  <c r="AR768" i="1"/>
  <c r="AQ768" i="1"/>
  <c r="AP768" i="1"/>
  <c r="Z768" i="1"/>
  <c r="BM767" i="1"/>
  <c r="AW767" i="1"/>
  <c r="AS767" i="1"/>
  <c r="AT767" i="1" s="1"/>
  <c r="AR767" i="1"/>
  <c r="AP767" i="1"/>
  <c r="Z767" i="1"/>
  <c r="BM766" i="1"/>
  <c r="AW766" i="1"/>
  <c r="AT766" i="1"/>
  <c r="AS766" i="1"/>
  <c r="AR766" i="1"/>
  <c r="AQ766" i="1"/>
  <c r="AP766" i="1"/>
  <c r="Z766" i="1"/>
  <c r="BM765" i="1"/>
  <c r="AW765" i="1"/>
  <c r="AT765" i="1"/>
  <c r="AS765" i="1"/>
  <c r="AR765" i="1"/>
  <c r="AQ765" i="1"/>
  <c r="AP765" i="1"/>
  <c r="Z765" i="1"/>
  <c r="BM764" i="1"/>
  <c r="AW764" i="1"/>
  <c r="AS764" i="1"/>
  <c r="AT764" i="1" s="1"/>
  <c r="AR764" i="1"/>
  <c r="AP764" i="1"/>
  <c r="Z764" i="1"/>
  <c r="BM763" i="1"/>
  <c r="AW763" i="1"/>
  <c r="AS763" i="1"/>
  <c r="AT763" i="1" s="1"/>
  <c r="AR763" i="1"/>
  <c r="AP763" i="1"/>
  <c r="Z763" i="1"/>
  <c r="BM762" i="1"/>
  <c r="AW762" i="1"/>
  <c r="AT762" i="1"/>
  <c r="AS762" i="1"/>
  <c r="AR762" i="1"/>
  <c r="AP762" i="1"/>
  <c r="Z762" i="1"/>
  <c r="BM761" i="1"/>
  <c r="AW761" i="1"/>
  <c r="AS761" i="1"/>
  <c r="AT761" i="1" s="1"/>
  <c r="AR761" i="1"/>
  <c r="AQ761" i="1"/>
  <c r="AP761" i="1"/>
  <c r="Z761" i="1"/>
  <c r="BM760" i="1"/>
  <c r="AW760" i="1"/>
  <c r="AT760" i="1"/>
  <c r="AS760" i="1"/>
  <c r="AR760" i="1"/>
  <c r="AQ760" i="1"/>
  <c r="AP760" i="1"/>
  <c r="Z760" i="1"/>
  <c r="BM759" i="1"/>
  <c r="AW759" i="1"/>
  <c r="AS759" i="1"/>
  <c r="AT759" i="1" s="1"/>
  <c r="AR759" i="1"/>
  <c r="AQ759" i="1"/>
  <c r="AP759" i="1"/>
  <c r="Y759" i="1"/>
  <c r="BM758" i="1"/>
  <c r="AW758" i="1"/>
  <c r="AS758" i="1"/>
  <c r="AT758" i="1" s="1"/>
  <c r="AR758" i="1"/>
  <c r="AP758" i="1"/>
  <c r="BM757" i="1"/>
  <c r="AW757" i="1"/>
  <c r="AS757" i="1"/>
  <c r="AT757" i="1" s="1"/>
  <c r="AR757" i="1"/>
  <c r="AP757" i="1"/>
  <c r="Z757" i="1"/>
  <c r="BM756" i="1"/>
  <c r="AW756" i="1"/>
  <c r="AS756" i="1"/>
  <c r="AT756" i="1" s="1"/>
  <c r="AR756" i="1"/>
  <c r="AQ756" i="1"/>
  <c r="AP756" i="1"/>
  <c r="Z756" i="1"/>
  <c r="BM755" i="1"/>
  <c r="AW755" i="1"/>
  <c r="AS755" i="1"/>
  <c r="AR755" i="1"/>
  <c r="AP755" i="1"/>
  <c r="BM754" i="1"/>
  <c r="AW754" i="1"/>
  <c r="AS754" i="1"/>
  <c r="AT754" i="1" s="1"/>
  <c r="AR754" i="1"/>
  <c r="AQ754" i="1"/>
  <c r="AP754" i="1"/>
  <c r="Z754" i="1"/>
  <c r="BM753" i="1"/>
  <c r="AW753" i="1"/>
  <c r="AT753" i="1"/>
  <c r="AS753" i="1"/>
  <c r="AR753" i="1"/>
  <c r="AP753" i="1"/>
  <c r="Z753" i="1"/>
  <c r="BM752" i="1"/>
  <c r="AW752" i="1"/>
  <c r="AT752" i="1"/>
  <c r="AS752" i="1"/>
  <c r="AR752" i="1"/>
  <c r="AQ752" i="1"/>
  <c r="AP752" i="1"/>
  <c r="Z752" i="1"/>
  <c r="BM751" i="1"/>
  <c r="AW751" i="1"/>
  <c r="AS751" i="1"/>
  <c r="AR751" i="1"/>
  <c r="AP751" i="1"/>
  <c r="BM750" i="1"/>
  <c r="AW750" i="1"/>
  <c r="AT750" i="1"/>
  <c r="AS750" i="1"/>
  <c r="AR750" i="1"/>
  <c r="AQ750" i="1"/>
  <c r="AP750" i="1"/>
  <c r="Z750" i="1"/>
  <c r="BM749" i="1"/>
  <c r="AW749" i="1"/>
  <c r="AS749" i="1"/>
  <c r="AT749" i="1" s="1"/>
  <c r="AR749" i="1"/>
  <c r="AP749" i="1"/>
  <c r="Z749" i="1"/>
  <c r="BM748" i="1"/>
  <c r="AW748" i="1"/>
  <c r="AS748" i="1"/>
  <c r="AT748" i="1" s="1"/>
  <c r="AR748" i="1"/>
  <c r="AQ748" i="1"/>
  <c r="AP748" i="1"/>
  <c r="Z748" i="1"/>
  <c r="BM747" i="1"/>
  <c r="AW747" i="1"/>
  <c r="AT747" i="1"/>
  <c r="AS747" i="1"/>
  <c r="AR747" i="1"/>
  <c r="AP747" i="1"/>
  <c r="Z747" i="1"/>
  <c r="BM746" i="1"/>
  <c r="AW746" i="1"/>
  <c r="AT746" i="1"/>
  <c r="AS746" i="1"/>
  <c r="AR746" i="1"/>
  <c r="AQ746" i="1"/>
  <c r="AP746" i="1"/>
  <c r="Z746" i="1"/>
  <c r="BM745" i="1"/>
  <c r="AW745" i="1"/>
  <c r="AS745" i="1"/>
  <c r="AT745" i="1" s="1"/>
  <c r="AR745" i="1"/>
  <c r="AQ745" i="1"/>
  <c r="AP745" i="1"/>
  <c r="Z745" i="1"/>
  <c r="BM744" i="1"/>
  <c r="AW744" i="1"/>
  <c r="AT744" i="1"/>
  <c r="AS744" i="1"/>
  <c r="AR744" i="1"/>
  <c r="AQ744" i="1"/>
  <c r="AP744" i="1"/>
  <c r="Z744" i="1"/>
  <c r="BM743" i="1"/>
  <c r="AW743" i="1"/>
  <c r="AS743" i="1"/>
  <c r="AT743" i="1" s="1"/>
  <c r="AR743" i="1"/>
  <c r="AQ743" i="1"/>
  <c r="AP743" i="1"/>
  <c r="Z743" i="1"/>
  <c r="BM742" i="1"/>
  <c r="AW742" i="1"/>
  <c r="AT742" i="1"/>
  <c r="AS742" i="1"/>
  <c r="AR742" i="1"/>
  <c r="AQ742" i="1"/>
  <c r="AP742" i="1"/>
  <c r="Z742" i="1"/>
  <c r="BM741" i="1"/>
  <c r="AW741" i="1"/>
  <c r="AS741" i="1"/>
  <c r="AT741" i="1" s="1"/>
  <c r="AR741" i="1"/>
  <c r="AP741" i="1"/>
  <c r="Z741" i="1"/>
  <c r="BM740" i="1"/>
  <c r="AW740" i="1"/>
  <c r="AS740" i="1"/>
  <c r="AT740" i="1" s="1"/>
  <c r="AR740" i="1"/>
  <c r="AQ740" i="1"/>
  <c r="AP740" i="1"/>
  <c r="Z740" i="1"/>
  <c r="BM739" i="1"/>
  <c r="AW739" i="1"/>
  <c r="AT739" i="1"/>
  <c r="AS739" i="1"/>
  <c r="AR739" i="1"/>
  <c r="AQ739" i="1"/>
  <c r="AP739" i="1"/>
  <c r="Z739" i="1"/>
  <c r="BM738" i="1"/>
  <c r="AW738" i="1"/>
  <c r="AS738" i="1"/>
  <c r="AT738" i="1" s="1"/>
  <c r="AR738" i="1"/>
  <c r="AP738" i="1"/>
  <c r="Z738" i="1"/>
  <c r="BM737" i="1"/>
  <c r="AW737" i="1"/>
  <c r="AS737" i="1"/>
  <c r="AT737" i="1" s="1"/>
  <c r="AR737" i="1"/>
  <c r="AQ737" i="1"/>
  <c r="AP737" i="1"/>
  <c r="Z737" i="1"/>
  <c r="BM736" i="1"/>
  <c r="AW736" i="1"/>
  <c r="AT736" i="1"/>
  <c r="AS736" i="1"/>
  <c r="AR736" i="1"/>
  <c r="AP736" i="1"/>
  <c r="Z736" i="1"/>
  <c r="BM735" i="1"/>
  <c r="AW735" i="1"/>
  <c r="AS735" i="1"/>
  <c r="AR735" i="1"/>
  <c r="AP735" i="1"/>
  <c r="BM734" i="1"/>
  <c r="AW734" i="1"/>
  <c r="AS734" i="1"/>
  <c r="AT734" i="1" s="1"/>
  <c r="AR734" i="1"/>
  <c r="AP734" i="1"/>
  <c r="Z734" i="1"/>
  <c r="BM733" i="1"/>
  <c r="AW733" i="1"/>
  <c r="AS733" i="1"/>
  <c r="AT733" i="1" s="1"/>
  <c r="AR733" i="1"/>
  <c r="AP733" i="1"/>
  <c r="BM732" i="1"/>
  <c r="AW732" i="1"/>
  <c r="AS732" i="1"/>
  <c r="AT732" i="1" s="1"/>
  <c r="AR732" i="1"/>
  <c r="AP732" i="1"/>
  <c r="BM731" i="1"/>
  <c r="AW731" i="1"/>
  <c r="AS731" i="1"/>
  <c r="AT731" i="1" s="1"/>
  <c r="AR731" i="1"/>
  <c r="AP731" i="1"/>
  <c r="Z731" i="1"/>
  <c r="BM730" i="1"/>
  <c r="AW730" i="1"/>
  <c r="AS730" i="1"/>
  <c r="AT730" i="1" s="1"/>
  <c r="AR730" i="1"/>
  <c r="AP730" i="1"/>
  <c r="BM729" i="1"/>
  <c r="AW729" i="1"/>
  <c r="AS729" i="1"/>
  <c r="AT729" i="1" s="1"/>
  <c r="AR729" i="1"/>
  <c r="AP729" i="1"/>
  <c r="Z729" i="1"/>
  <c r="BM728" i="1"/>
  <c r="AW728" i="1"/>
  <c r="AS728" i="1"/>
  <c r="AT728" i="1" s="1"/>
  <c r="AR728" i="1"/>
  <c r="AQ728" i="1"/>
  <c r="AP728" i="1"/>
  <c r="Z728" i="1"/>
  <c r="BM727" i="1"/>
  <c r="AW727" i="1"/>
  <c r="AT727" i="1"/>
  <c r="AS727" i="1"/>
  <c r="AR727" i="1"/>
  <c r="AP727" i="1"/>
  <c r="Z727" i="1"/>
  <c r="BM726" i="1"/>
  <c r="AW726" i="1"/>
  <c r="AT726" i="1"/>
  <c r="AS726" i="1"/>
  <c r="AR726" i="1"/>
  <c r="AP726" i="1"/>
  <c r="Z726" i="1"/>
  <c r="BM725" i="1"/>
  <c r="AW725" i="1"/>
  <c r="AT725" i="1"/>
  <c r="AS725" i="1"/>
  <c r="AR725" i="1"/>
  <c r="AP725" i="1"/>
  <c r="Z725" i="1"/>
  <c r="BM724" i="1"/>
  <c r="AW724" i="1"/>
  <c r="AT724" i="1"/>
  <c r="AS724" i="1"/>
  <c r="AR724" i="1"/>
  <c r="AP724" i="1"/>
  <c r="Z724" i="1"/>
  <c r="BM723" i="1"/>
  <c r="AW723" i="1"/>
  <c r="AT723" i="1"/>
  <c r="AS723" i="1"/>
  <c r="AR723" i="1"/>
  <c r="AP723" i="1"/>
  <c r="Z723" i="1"/>
  <c r="BM722" i="1"/>
  <c r="AW722" i="1"/>
  <c r="AT722" i="1"/>
  <c r="AS722" i="1"/>
  <c r="AR722" i="1"/>
  <c r="AP722" i="1"/>
  <c r="Z722" i="1"/>
  <c r="BM721" i="1"/>
  <c r="AW721" i="1"/>
  <c r="AT721" i="1"/>
  <c r="AS721" i="1"/>
  <c r="AR721" i="1"/>
  <c r="AP721" i="1"/>
  <c r="Z721" i="1"/>
  <c r="BM720" i="1"/>
  <c r="AW720" i="1"/>
  <c r="AT720" i="1"/>
  <c r="AS720" i="1"/>
  <c r="AR720" i="1"/>
  <c r="AP720" i="1"/>
  <c r="Z720" i="1"/>
  <c r="BM719" i="1"/>
  <c r="AW719" i="1"/>
  <c r="AT719" i="1"/>
  <c r="AS719" i="1"/>
  <c r="AR719" i="1"/>
  <c r="AP719" i="1"/>
  <c r="Z719" i="1"/>
  <c r="BM718" i="1"/>
  <c r="AW718" i="1"/>
  <c r="AT718" i="1"/>
  <c r="AS718" i="1"/>
  <c r="AR718" i="1"/>
  <c r="AP718" i="1"/>
  <c r="BM717" i="1"/>
  <c r="AW717" i="1"/>
  <c r="AT717" i="1"/>
  <c r="AS717" i="1"/>
  <c r="AR717" i="1"/>
  <c r="AP717" i="1"/>
  <c r="Z717" i="1"/>
  <c r="BM716" i="1"/>
  <c r="AW716" i="1"/>
  <c r="AT716" i="1"/>
  <c r="AS716" i="1"/>
  <c r="AR716" i="1"/>
  <c r="AQ716" i="1"/>
  <c r="AP716" i="1"/>
  <c r="Z716" i="1"/>
  <c r="BM715" i="1"/>
  <c r="AW715" i="1"/>
  <c r="AS715" i="1"/>
  <c r="AT715" i="1" s="1"/>
  <c r="AR715" i="1"/>
  <c r="AQ715" i="1"/>
  <c r="AP715" i="1"/>
  <c r="Z715" i="1"/>
  <c r="BM714" i="1"/>
  <c r="AW714" i="1"/>
  <c r="AT714" i="1"/>
  <c r="AS714" i="1"/>
  <c r="AR714" i="1"/>
  <c r="AQ714" i="1"/>
  <c r="AP714" i="1"/>
  <c r="Z714" i="1"/>
  <c r="BM713" i="1"/>
  <c r="AW713" i="1"/>
  <c r="AT713" i="1"/>
  <c r="AS713" i="1"/>
  <c r="AR713" i="1"/>
  <c r="AQ713" i="1"/>
  <c r="AP713" i="1"/>
  <c r="Z713" i="1"/>
  <c r="BM712" i="1"/>
  <c r="AW712" i="1"/>
  <c r="AT712" i="1"/>
  <c r="AS712" i="1"/>
  <c r="AR712" i="1"/>
  <c r="AP712" i="1"/>
  <c r="Z712" i="1"/>
  <c r="BM711" i="1"/>
  <c r="AW711" i="1"/>
  <c r="AT711" i="1"/>
  <c r="AS711" i="1"/>
  <c r="AR711" i="1"/>
  <c r="AP711" i="1"/>
  <c r="Z711" i="1"/>
  <c r="BM710" i="1"/>
  <c r="AW710" i="1"/>
  <c r="AT710" i="1"/>
  <c r="AS710" i="1"/>
  <c r="AR710" i="1"/>
  <c r="AQ710" i="1"/>
  <c r="AP710" i="1"/>
  <c r="Z710" i="1"/>
  <c r="BM709" i="1"/>
  <c r="AW709" i="1"/>
  <c r="AS709" i="1"/>
  <c r="AT709" i="1" s="1"/>
  <c r="AR709" i="1"/>
  <c r="AP709" i="1"/>
  <c r="Z709" i="1"/>
  <c r="BM708" i="1"/>
  <c r="AW708" i="1"/>
  <c r="AS708" i="1"/>
  <c r="AT708" i="1" s="1"/>
  <c r="AR708" i="1"/>
  <c r="AQ708" i="1"/>
  <c r="AP708" i="1"/>
  <c r="Z708" i="1"/>
  <c r="BM707" i="1"/>
  <c r="AW707" i="1"/>
  <c r="AT707" i="1"/>
  <c r="AS707" i="1"/>
  <c r="AR707" i="1"/>
  <c r="AQ707" i="1"/>
  <c r="AP707" i="1"/>
  <c r="Z707" i="1"/>
  <c r="BM706" i="1"/>
  <c r="AW706" i="1"/>
  <c r="AT706" i="1"/>
  <c r="AS706" i="1"/>
  <c r="AR706" i="1"/>
  <c r="AQ706" i="1"/>
  <c r="AP706" i="1"/>
  <c r="Z706" i="1"/>
  <c r="BM705" i="1"/>
  <c r="AW705" i="1"/>
  <c r="AT705" i="1"/>
  <c r="AS705" i="1"/>
  <c r="AR705" i="1"/>
  <c r="AP705" i="1"/>
  <c r="Z705" i="1"/>
  <c r="BM704" i="1"/>
  <c r="AW704" i="1"/>
  <c r="AT704" i="1"/>
  <c r="AS704" i="1"/>
  <c r="AR704" i="1"/>
  <c r="AP704" i="1"/>
  <c r="Z704" i="1"/>
  <c r="BM703" i="1"/>
  <c r="AW703" i="1"/>
  <c r="AT703" i="1"/>
  <c r="AS703" i="1"/>
  <c r="AR703" i="1"/>
  <c r="AP703" i="1"/>
  <c r="Z703" i="1"/>
  <c r="BM702" i="1"/>
  <c r="AW702" i="1"/>
  <c r="AT702" i="1"/>
  <c r="AS702" i="1"/>
  <c r="AR702" i="1"/>
  <c r="AP702" i="1"/>
  <c r="Z702" i="1"/>
  <c r="BM701" i="1"/>
  <c r="AW701" i="1"/>
  <c r="AT701" i="1"/>
  <c r="AS701" i="1"/>
  <c r="AR701" i="1"/>
  <c r="AP701" i="1"/>
  <c r="Z701" i="1"/>
  <c r="BM700" i="1"/>
  <c r="AW700" i="1"/>
  <c r="AT700" i="1"/>
  <c r="AS700" i="1"/>
  <c r="AR700" i="1"/>
  <c r="AQ700" i="1"/>
  <c r="AP700" i="1"/>
  <c r="Z700" i="1"/>
  <c r="BM699" i="1"/>
  <c r="AW699" i="1"/>
  <c r="AS699" i="1"/>
  <c r="AT699" i="1" s="1"/>
  <c r="AR699" i="1"/>
  <c r="AP699" i="1"/>
  <c r="Z699" i="1"/>
  <c r="BM698" i="1"/>
  <c r="AW698" i="1"/>
  <c r="AS698" i="1"/>
  <c r="AT698" i="1" s="1"/>
  <c r="AR698" i="1"/>
  <c r="AP698" i="1"/>
  <c r="Z698" i="1"/>
  <c r="BM697" i="1"/>
  <c r="AW697" i="1"/>
  <c r="AP697" i="1"/>
  <c r="BM696" i="1"/>
  <c r="AW696" i="1"/>
  <c r="AP696" i="1"/>
  <c r="BM695" i="1"/>
  <c r="AW695" i="1"/>
  <c r="AP695" i="1"/>
  <c r="BM694" i="1"/>
  <c r="AW694" i="1"/>
  <c r="AT694" i="1"/>
  <c r="AS694" i="1"/>
  <c r="AR694" i="1"/>
  <c r="AP694" i="1"/>
  <c r="Z694" i="1"/>
  <c r="BM693" i="1"/>
  <c r="AW693" i="1"/>
  <c r="AT693" i="1"/>
  <c r="AS693" i="1"/>
  <c r="AR693" i="1"/>
  <c r="AQ693" i="1"/>
  <c r="AP693" i="1"/>
  <c r="Z693" i="1"/>
  <c r="BM692" i="1"/>
  <c r="AW692" i="1"/>
  <c r="AS692" i="1"/>
  <c r="AT692" i="1" s="1"/>
  <c r="AR692" i="1"/>
  <c r="AQ692" i="1"/>
  <c r="AP692" i="1"/>
  <c r="Z692" i="1"/>
  <c r="BM691" i="1"/>
  <c r="AW691" i="1"/>
  <c r="AT691" i="1"/>
  <c r="AS691" i="1"/>
  <c r="AR691" i="1"/>
  <c r="AQ691" i="1"/>
  <c r="AP691" i="1"/>
  <c r="Z691" i="1"/>
  <c r="BM690" i="1"/>
  <c r="AW690" i="1"/>
  <c r="AT690" i="1"/>
  <c r="AS690" i="1"/>
  <c r="AR690" i="1"/>
  <c r="AQ690" i="1"/>
  <c r="AP690" i="1"/>
  <c r="Z690" i="1"/>
  <c r="BM689" i="1"/>
  <c r="AW689" i="1"/>
  <c r="AT689" i="1"/>
  <c r="AS689" i="1"/>
  <c r="AR689" i="1"/>
  <c r="AQ689" i="1"/>
  <c r="AP689" i="1"/>
  <c r="Z689" i="1"/>
  <c r="BM688" i="1"/>
  <c r="AW688" i="1"/>
  <c r="AS688" i="1"/>
  <c r="AT688" i="1" s="1"/>
  <c r="AR688" i="1"/>
  <c r="AQ688" i="1"/>
  <c r="AP688" i="1"/>
  <c r="Z688" i="1"/>
  <c r="BM687" i="1"/>
  <c r="AW687" i="1"/>
  <c r="AS687" i="1"/>
  <c r="AT687" i="1" s="1"/>
  <c r="AR687" i="1"/>
  <c r="AQ687" i="1"/>
  <c r="AP687" i="1"/>
  <c r="Y687" i="1"/>
  <c r="BM686" i="1"/>
  <c r="AW686" i="1"/>
  <c r="AT686" i="1"/>
  <c r="AS686" i="1"/>
  <c r="AR686" i="1"/>
  <c r="AP686" i="1"/>
  <c r="Y686" i="1"/>
  <c r="BM685" i="1"/>
  <c r="AW685" i="1"/>
  <c r="AS685" i="1"/>
  <c r="AT685" i="1" s="1"/>
  <c r="AR685" i="1"/>
  <c r="AQ685" i="1"/>
  <c r="AP685" i="1"/>
  <c r="Y685" i="1"/>
  <c r="BM684" i="1"/>
  <c r="AW684" i="1"/>
  <c r="AT684" i="1"/>
  <c r="AS684" i="1"/>
  <c r="AR684" i="1"/>
  <c r="AQ684" i="1"/>
  <c r="AP684" i="1"/>
  <c r="Z684" i="1"/>
  <c r="BM683" i="1"/>
  <c r="AW683" i="1"/>
  <c r="AT683" i="1"/>
  <c r="AS683" i="1"/>
  <c r="AR683" i="1"/>
  <c r="AP683" i="1"/>
  <c r="Z683" i="1"/>
  <c r="CB682" i="1"/>
  <c r="BM682" i="1" s="1"/>
  <c r="BL682" i="1"/>
  <c r="AW682" i="1"/>
  <c r="AT682" i="1"/>
  <c r="AS682" i="1"/>
  <c r="AR682" i="1"/>
  <c r="AQ682" i="1"/>
  <c r="AP682" i="1"/>
  <c r="Y682" i="1"/>
  <c r="BM681" i="1"/>
  <c r="AW681" i="1"/>
  <c r="AT681" i="1"/>
  <c r="AS681" i="1"/>
  <c r="AR681" i="1"/>
  <c r="AQ681" i="1"/>
  <c r="AP681" i="1"/>
  <c r="Y681" i="1"/>
  <c r="BM680" i="1"/>
  <c r="AW680" i="1"/>
  <c r="AS680" i="1"/>
  <c r="AT680" i="1" s="1"/>
  <c r="AR680" i="1"/>
  <c r="AQ680" i="1"/>
  <c r="AP680" i="1"/>
  <c r="Y680" i="1"/>
  <c r="BM679" i="1"/>
  <c r="AW679" i="1"/>
  <c r="AT679" i="1"/>
  <c r="AS679" i="1"/>
  <c r="AR679" i="1"/>
  <c r="AQ679" i="1"/>
  <c r="AP679" i="1"/>
  <c r="Y679" i="1"/>
  <c r="BM678" i="1"/>
  <c r="AW678" i="1"/>
  <c r="AT678" i="1"/>
  <c r="AS678" i="1"/>
  <c r="AR678" i="1"/>
  <c r="AP678" i="1"/>
  <c r="Z678" i="1"/>
  <c r="BM677" i="1"/>
  <c r="AW677" i="1"/>
  <c r="AT677" i="1"/>
  <c r="AS677" i="1"/>
  <c r="AR677" i="1"/>
  <c r="AQ677" i="1"/>
  <c r="AP677" i="1"/>
  <c r="Z677" i="1"/>
  <c r="BM676" i="1"/>
  <c r="AW676" i="1"/>
  <c r="AS676" i="1"/>
  <c r="AT676" i="1" s="1"/>
  <c r="AR676" i="1"/>
  <c r="AP676" i="1"/>
  <c r="Z676" i="1"/>
  <c r="BM675" i="1"/>
  <c r="AW675" i="1"/>
  <c r="AS675" i="1"/>
  <c r="AT675" i="1" s="1"/>
  <c r="AR675" i="1"/>
  <c r="AP675" i="1"/>
  <c r="BM674" i="1"/>
  <c r="AW674" i="1"/>
  <c r="AS674" i="1"/>
  <c r="AT674" i="1" s="1"/>
  <c r="AR674" i="1"/>
  <c r="AQ674" i="1"/>
  <c r="AP674" i="1"/>
  <c r="Y674" i="1"/>
  <c r="BM673" i="1"/>
  <c r="AW673" i="1"/>
  <c r="AS673" i="1"/>
  <c r="AT673" i="1" s="1"/>
  <c r="AR673" i="1"/>
  <c r="AP673" i="1"/>
  <c r="Y673" i="1"/>
  <c r="BM672" i="1"/>
  <c r="AW672" i="1"/>
  <c r="AT672" i="1"/>
  <c r="AS672" i="1"/>
  <c r="AR672" i="1"/>
  <c r="AP672" i="1"/>
  <c r="Y672" i="1"/>
  <c r="BM671" i="1"/>
  <c r="AW671" i="1"/>
  <c r="AS671" i="1"/>
  <c r="AT671" i="1" s="1"/>
  <c r="AR671" i="1"/>
  <c r="AQ671" i="1"/>
  <c r="AP671" i="1"/>
  <c r="Z671" i="1"/>
  <c r="BM670" i="1"/>
  <c r="AW670" i="1"/>
  <c r="AT670" i="1"/>
  <c r="AS670" i="1"/>
  <c r="AR670" i="1"/>
  <c r="AQ670" i="1"/>
  <c r="AP670" i="1"/>
  <c r="Y670" i="1"/>
  <c r="BM669" i="1"/>
  <c r="AW669" i="1"/>
  <c r="AS669" i="1"/>
  <c r="AT669" i="1" s="1"/>
  <c r="AR669" i="1"/>
  <c r="AP669" i="1"/>
  <c r="Y669" i="1"/>
  <c r="BM668" i="1"/>
  <c r="AW668" i="1"/>
  <c r="AS668" i="1"/>
  <c r="AT668" i="1" s="1"/>
  <c r="AR668" i="1"/>
  <c r="AP668" i="1"/>
  <c r="Y668" i="1"/>
  <c r="BM667" i="1"/>
  <c r="AW667" i="1"/>
  <c r="AT667" i="1"/>
  <c r="AS667" i="1"/>
  <c r="AR667" i="1"/>
  <c r="AP667" i="1"/>
  <c r="Y667" i="1"/>
  <c r="BM666" i="1"/>
  <c r="AW666" i="1"/>
  <c r="AS666" i="1"/>
  <c r="AT666" i="1" s="1"/>
  <c r="AR666" i="1"/>
  <c r="AP666" i="1"/>
  <c r="Z666" i="1"/>
  <c r="BM665" i="1"/>
  <c r="AW665" i="1"/>
  <c r="AS665" i="1"/>
  <c r="AT665" i="1" s="1"/>
  <c r="AR665" i="1"/>
  <c r="AP665" i="1"/>
  <c r="Z665" i="1"/>
  <c r="BM664" i="1"/>
  <c r="AW664" i="1"/>
  <c r="AS664" i="1"/>
  <c r="AT664" i="1" s="1"/>
  <c r="AR664" i="1"/>
  <c r="AP664" i="1"/>
  <c r="Z664" i="1"/>
  <c r="CB663" i="1"/>
  <c r="CA663" i="1"/>
  <c r="BZ663" i="1"/>
  <c r="BM663" i="1" s="1"/>
  <c r="BL663" i="1"/>
  <c r="BK663" i="1"/>
  <c r="AW663" i="1" s="1"/>
  <c r="BJ663" i="1"/>
  <c r="AT663" i="1"/>
  <c r="AS663" i="1"/>
  <c r="AR663" i="1"/>
  <c r="AQ663" i="1"/>
  <c r="AP663" i="1"/>
  <c r="Z663" i="1"/>
  <c r="BM662" i="1"/>
  <c r="AW662" i="1"/>
  <c r="AT662" i="1"/>
  <c r="AS662" i="1"/>
  <c r="AR662" i="1"/>
  <c r="AP662" i="1"/>
  <c r="Z662" i="1"/>
  <c r="BM661" i="1"/>
  <c r="AW661" i="1"/>
  <c r="AT661" i="1"/>
  <c r="AS661" i="1"/>
  <c r="AR661" i="1"/>
  <c r="AQ661" i="1"/>
  <c r="AP661" i="1"/>
  <c r="Y661" i="1"/>
  <c r="BM660" i="1"/>
  <c r="AW660" i="1"/>
  <c r="AS660" i="1"/>
  <c r="AT660" i="1" s="1"/>
  <c r="AR660" i="1"/>
  <c r="AP660" i="1"/>
  <c r="Z660" i="1"/>
  <c r="BM659" i="1"/>
  <c r="AW659" i="1"/>
  <c r="AT659" i="1"/>
  <c r="AS659" i="1"/>
  <c r="AR659" i="1"/>
  <c r="AQ659" i="1"/>
  <c r="AP659" i="1"/>
  <c r="Z659" i="1"/>
  <c r="BM658" i="1"/>
  <c r="AW658" i="1"/>
  <c r="AT658" i="1"/>
  <c r="AS658" i="1"/>
  <c r="AR658" i="1"/>
  <c r="AP658" i="1"/>
  <c r="Z658" i="1"/>
  <c r="BM657" i="1"/>
  <c r="AW657" i="1"/>
  <c r="AS657" i="1"/>
  <c r="AT657" i="1" s="1"/>
  <c r="AR657" i="1"/>
  <c r="AQ657" i="1"/>
  <c r="AP657" i="1"/>
  <c r="Z657" i="1"/>
  <c r="BM656" i="1"/>
  <c r="AW656" i="1"/>
  <c r="AT656" i="1"/>
  <c r="AS656" i="1"/>
  <c r="AR656" i="1"/>
  <c r="AQ656" i="1"/>
  <c r="AP656" i="1"/>
  <c r="Z656" i="1"/>
  <c r="BM655" i="1"/>
  <c r="AW655" i="1"/>
  <c r="AS655" i="1"/>
  <c r="AT655" i="1" s="1"/>
  <c r="AR655" i="1"/>
  <c r="AQ655" i="1"/>
  <c r="AP655" i="1"/>
  <c r="Z655" i="1"/>
  <c r="BM654" i="1"/>
  <c r="AW654" i="1"/>
  <c r="AT654" i="1"/>
  <c r="AS654" i="1"/>
  <c r="AR654" i="1"/>
  <c r="AQ654" i="1"/>
  <c r="AP654" i="1"/>
  <c r="Z654" i="1"/>
  <c r="BM653" i="1"/>
  <c r="AW653" i="1"/>
  <c r="AT653" i="1"/>
  <c r="AS653" i="1"/>
  <c r="AR653" i="1"/>
  <c r="AQ653" i="1"/>
  <c r="AP653" i="1"/>
  <c r="Y653" i="1"/>
  <c r="BM652" i="1"/>
  <c r="AW652" i="1"/>
  <c r="AS652" i="1"/>
  <c r="AT652" i="1" s="1"/>
  <c r="AR652" i="1"/>
  <c r="AP652" i="1"/>
  <c r="Z652" i="1"/>
  <c r="BM651" i="1"/>
  <c r="AW651" i="1"/>
  <c r="AS651" i="1"/>
  <c r="AT651" i="1" s="1"/>
  <c r="AR651" i="1"/>
  <c r="AQ651" i="1"/>
  <c r="AP651" i="1"/>
  <c r="Z651" i="1"/>
  <c r="BM650" i="1"/>
  <c r="AW650" i="1"/>
  <c r="AS650" i="1"/>
  <c r="AT650" i="1" s="1"/>
  <c r="AR650" i="1"/>
  <c r="AQ650" i="1"/>
  <c r="AP650" i="1"/>
  <c r="Z650" i="1"/>
  <c r="BM649" i="1"/>
  <c r="AW649" i="1"/>
  <c r="AS649" i="1"/>
  <c r="AT649" i="1" s="1"/>
  <c r="AR649" i="1"/>
  <c r="AQ649" i="1"/>
  <c r="AP649" i="1"/>
  <c r="Z649" i="1"/>
  <c r="BM648" i="1"/>
  <c r="AW648" i="1"/>
  <c r="AT648" i="1"/>
  <c r="AS648" i="1"/>
  <c r="AR648" i="1"/>
  <c r="AP648" i="1"/>
  <c r="Y648" i="1"/>
  <c r="BM647" i="1"/>
  <c r="AW647" i="1"/>
  <c r="AS647" i="1"/>
  <c r="AT647" i="1" s="1"/>
  <c r="AR647" i="1"/>
  <c r="AQ647" i="1"/>
  <c r="AP647" i="1"/>
  <c r="Z647" i="1"/>
  <c r="BM646" i="1"/>
  <c r="AW646" i="1"/>
  <c r="AT646" i="1"/>
  <c r="AS646" i="1"/>
  <c r="AR646" i="1"/>
  <c r="AP646" i="1"/>
  <c r="Z646" i="1"/>
  <c r="BM645" i="1"/>
  <c r="AW645" i="1"/>
  <c r="AS645" i="1"/>
  <c r="AT645" i="1" s="1"/>
  <c r="AR645" i="1"/>
  <c r="AP645" i="1"/>
  <c r="Z645" i="1"/>
  <c r="BM644" i="1"/>
  <c r="AW644" i="1"/>
  <c r="AT644" i="1"/>
  <c r="AS644" i="1"/>
  <c r="AR644" i="1"/>
  <c r="AP644" i="1"/>
  <c r="Z644" i="1"/>
  <c r="BM643" i="1"/>
  <c r="AW643" i="1"/>
  <c r="AS643" i="1"/>
  <c r="AR643" i="1"/>
  <c r="CA642" i="1"/>
  <c r="BM642" i="1" s="1"/>
  <c r="BK642" i="1"/>
  <c r="AS642" i="1"/>
  <c r="AT642" i="1" s="1"/>
  <c r="AR642" i="1"/>
  <c r="AP642" i="1"/>
  <c r="Z642" i="1"/>
  <c r="BM641" i="1"/>
  <c r="AW641" i="1"/>
  <c r="AT641" i="1"/>
  <c r="AS641" i="1"/>
  <c r="AR641" i="1"/>
  <c r="AQ641" i="1"/>
  <c r="AP641" i="1"/>
  <c r="Z641" i="1"/>
  <c r="BM640" i="1"/>
  <c r="AW640" i="1"/>
  <c r="AS640" i="1"/>
  <c r="AT640" i="1" s="1"/>
  <c r="AR640" i="1"/>
  <c r="BM639" i="1"/>
  <c r="AW639" i="1"/>
  <c r="AS639" i="1"/>
  <c r="AT639" i="1" s="1"/>
  <c r="AR639" i="1"/>
  <c r="AQ639" i="1"/>
  <c r="AP639" i="1"/>
  <c r="Z639" i="1"/>
  <c r="BM638" i="1"/>
  <c r="AW638" i="1"/>
  <c r="AS638" i="1"/>
  <c r="AT638" i="1" s="1"/>
  <c r="AR638" i="1"/>
  <c r="AQ638" i="1"/>
  <c r="AP638" i="1"/>
  <c r="Z638" i="1"/>
  <c r="BM637" i="1"/>
  <c r="AW637" i="1"/>
  <c r="AT637" i="1"/>
  <c r="AS637" i="1"/>
  <c r="AR637" i="1"/>
  <c r="AQ637" i="1"/>
  <c r="AP637" i="1"/>
  <c r="Z637" i="1"/>
  <c r="BM636" i="1"/>
  <c r="AW636" i="1"/>
  <c r="AS636" i="1"/>
  <c r="AT636" i="1" s="1"/>
  <c r="AR636" i="1"/>
  <c r="AP636" i="1"/>
  <c r="Z636" i="1"/>
  <c r="BM635" i="1"/>
  <c r="AW635" i="1"/>
  <c r="AS635" i="1"/>
  <c r="AT635" i="1" s="1"/>
  <c r="AR635" i="1"/>
  <c r="AP635" i="1"/>
  <c r="Y635" i="1"/>
  <c r="BM634" i="1"/>
  <c r="AW634" i="1"/>
  <c r="AS634" i="1"/>
  <c r="AT634" i="1" s="1"/>
  <c r="AR634" i="1"/>
  <c r="AP634" i="1"/>
  <c r="Y634" i="1"/>
  <c r="BM633" i="1"/>
  <c r="AW633" i="1"/>
  <c r="AS633" i="1"/>
  <c r="AT633" i="1" s="1"/>
  <c r="AR633" i="1"/>
  <c r="AP633" i="1"/>
  <c r="Y633" i="1"/>
  <c r="BM632" i="1"/>
  <c r="AW632" i="1"/>
  <c r="AT632" i="1"/>
  <c r="AS632" i="1"/>
  <c r="AR632" i="1"/>
  <c r="AP632" i="1"/>
  <c r="BM631" i="1"/>
  <c r="AW631" i="1"/>
  <c r="AT631" i="1"/>
  <c r="AS631" i="1"/>
  <c r="AR631" i="1"/>
  <c r="AQ631" i="1"/>
  <c r="AP631" i="1"/>
  <c r="Z631" i="1"/>
  <c r="BM630" i="1"/>
  <c r="AW630" i="1"/>
  <c r="AT630" i="1"/>
  <c r="AS630" i="1"/>
  <c r="AR630" i="1"/>
  <c r="AQ630" i="1"/>
  <c r="AP630" i="1"/>
  <c r="Z630" i="1"/>
  <c r="BM629" i="1"/>
  <c r="AW629" i="1"/>
  <c r="AT629" i="1"/>
  <c r="AS629" i="1"/>
  <c r="AR629" i="1"/>
  <c r="AP629" i="1"/>
  <c r="Y629" i="1"/>
  <c r="BM628" i="1"/>
  <c r="AW628" i="1"/>
  <c r="AS628" i="1"/>
  <c r="AT628" i="1" s="1"/>
  <c r="AR628" i="1"/>
  <c r="AQ628" i="1"/>
  <c r="AP628" i="1"/>
  <c r="Z628" i="1"/>
  <c r="BM627" i="1"/>
  <c r="AW627" i="1"/>
  <c r="AT627" i="1"/>
  <c r="AR627" i="1"/>
  <c r="AQ627" i="1"/>
  <c r="AP627" i="1"/>
  <c r="BM626" i="1"/>
  <c r="AW626" i="1"/>
  <c r="AT626" i="1"/>
  <c r="AR626" i="1"/>
  <c r="AQ626" i="1"/>
  <c r="AP626" i="1"/>
  <c r="BM625" i="1"/>
  <c r="AW625" i="1"/>
  <c r="AT625" i="1"/>
  <c r="AS625" i="1"/>
  <c r="AR625" i="1"/>
  <c r="AP625" i="1"/>
  <c r="Z625" i="1"/>
  <c r="BM624" i="1"/>
  <c r="AW624" i="1"/>
  <c r="AS624" i="1"/>
  <c r="AT624" i="1" s="1"/>
  <c r="AR624" i="1"/>
  <c r="AP624" i="1"/>
  <c r="Z624" i="1"/>
  <c r="BM623" i="1"/>
  <c r="AW623" i="1"/>
  <c r="AT623" i="1"/>
  <c r="AS623" i="1"/>
  <c r="AR623" i="1"/>
  <c r="AP623" i="1"/>
  <c r="Z623" i="1"/>
  <c r="BM622" i="1"/>
  <c r="AW622" i="1"/>
  <c r="AS622" i="1"/>
  <c r="AT622" i="1" s="1"/>
  <c r="AR622" i="1"/>
  <c r="AP622" i="1"/>
  <c r="Z622" i="1"/>
  <c r="BM621" i="1"/>
  <c r="AW621" i="1"/>
  <c r="AT621" i="1"/>
  <c r="AS621" i="1"/>
  <c r="AR621" i="1"/>
  <c r="AQ621" i="1"/>
  <c r="AP621" i="1"/>
  <c r="Z621" i="1"/>
  <c r="BM620" i="1"/>
  <c r="AW620" i="1"/>
  <c r="AT620" i="1"/>
  <c r="AS620" i="1"/>
  <c r="AR620" i="1"/>
  <c r="AP620" i="1"/>
  <c r="BM619" i="1"/>
  <c r="AW619" i="1"/>
  <c r="AS619" i="1"/>
  <c r="AT619" i="1" s="1"/>
  <c r="AR619" i="1"/>
  <c r="AQ619" i="1"/>
  <c r="AP619" i="1"/>
  <c r="Z619" i="1"/>
  <c r="CB618" i="1"/>
  <c r="BM618" i="1" s="1"/>
  <c r="BL618" i="1"/>
  <c r="AW618" i="1" s="1"/>
  <c r="AT618" i="1"/>
  <c r="AS618" i="1"/>
  <c r="AR618" i="1"/>
  <c r="AQ618" i="1"/>
  <c r="AP618" i="1"/>
  <c r="Z618" i="1"/>
  <c r="BM617" i="1"/>
  <c r="AW617" i="1"/>
  <c r="AS617" i="1"/>
  <c r="AR617" i="1"/>
  <c r="AP617" i="1"/>
  <c r="BM616" i="1"/>
  <c r="AW616" i="1"/>
  <c r="AS616" i="1"/>
  <c r="AT616" i="1" s="1"/>
  <c r="AR616" i="1"/>
  <c r="AQ616" i="1"/>
  <c r="AP616" i="1"/>
  <c r="Z616" i="1"/>
  <c r="BM615" i="1"/>
  <c r="AW615" i="1"/>
  <c r="AT615" i="1"/>
  <c r="AS615" i="1"/>
  <c r="AR615" i="1"/>
  <c r="AP615" i="1"/>
  <c r="Y615" i="1"/>
  <c r="BM614" i="1"/>
  <c r="AW614" i="1"/>
  <c r="AT614" i="1"/>
  <c r="AS614" i="1"/>
  <c r="AR614" i="1"/>
  <c r="AQ614" i="1"/>
  <c r="AP614" i="1"/>
  <c r="Z614" i="1"/>
  <c r="BM613" i="1"/>
  <c r="AW613" i="1"/>
  <c r="AT613" i="1"/>
  <c r="AS613" i="1"/>
  <c r="AR613" i="1"/>
  <c r="AQ613" i="1"/>
  <c r="AP613" i="1"/>
  <c r="Z613" i="1"/>
  <c r="BM612" i="1"/>
  <c r="AW612" i="1"/>
  <c r="AS612" i="1"/>
  <c r="AT612" i="1" s="1"/>
  <c r="AR612" i="1"/>
  <c r="AQ612" i="1"/>
  <c r="AP612" i="1"/>
  <c r="Z612" i="1"/>
  <c r="BM611" i="1"/>
  <c r="AW611" i="1"/>
  <c r="AT611" i="1"/>
  <c r="AS611" i="1"/>
  <c r="AR611" i="1"/>
  <c r="AQ611" i="1"/>
  <c r="AP611" i="1"/>
  <c r="Y611" i="1"/>
  <c r="BM610" i="1"/>
  <c r="AW610" i="1"/>
  <c r="AT610" i="1"/>
  <c r="AS610" i="1"/>
  <c r="AR610" i="1"/>
  <c r="AP610" i="1"/>
  <c r="Y610" i="1"/>
  <c r="BM609" i="1"/>
  <c r="AW609" i="1"/>
  <c r="AS609" i="1"/>
  <c r="AT609" i="1" s="1"/>
  <c r="AR609" i="1"/>
  <c r="AQ609" i="1"/>
  <c r="AP609" i="1"/>
  <c r="Y609" i="1"/>
  <c r="BM608" i="1"/>
  <c r="AW608" i="1"/>
  <c r="AT608" i="1"/>
  <c r="AS608" i="1"/>
  <c r="AR608" i="1"/>
  <c r="AQ608" i="1"/>
  <c r="AP608" i="1"/>
  <c r="Z608" i="1"/>
  <c r="BM607" i="1"/>
  <c r="AW607" i="1"/>
  <c r="AT607" i="1"/>
  <c r="AS607" i="1"/>
  <c r="AR607" i="1"/>
  <c r="AP607" i="1"/>
  <c r="Z607" i="1"/>
  <c r="BM606" i="1"/>
  <c r="AW606" i="1"/>
  <c r="AT606" i="1"/>
  <c r="AS606" i="1"/>
  <c r="AR606" i="1"/>
  <c r="AP606" i="1"/>
  <c r="Y606" i="1"/>
  <c r="BM605" i="1"/>
  <c r="AW605" i="1"/>
  <c r="AS605" i="1"/>
  <c r="AT605" i="1" s="1"/>
  <c r="AR605" i="1"/>
  <c r="AQ605" i="1"/>
  <c r="AP605" i="1"/>
  <c r="Z605" i="1"/>
  <c r="B605" i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M604" i="1"/>
  <c r="AW604" i="1"/>
  <c r="AT604" i="1"/>
  <c r="AS604" i="1"/>
  <c r="AR604" i="1"/>
  <c r="AQ604" i="1"/>
  <c r="AP604" i="1"/>
  <c r="Y604" i="1"/>
  <c r="BM603" i="1"/>
  <c r="AW603" i="1"/>
  <c r="AT603" i="1"/>
  <c r="AS603" i="1"/>
  <c r="AR603" i="1"/>
  <c r="AQ603" i="1"/>
  <c r="AP603" i="1"/>
  <c r="Z603" i="1"/>
  <c r="BM602" i="1"/>
  <c r="AW602" i="1"/>
  <c r="AS602" i="1"/>
  <c r="AT602" i="1" s="1"/>
  <c r="AR602" i="1"/>
  <c r="AP602" i="1"/>
  <c r="Z602" i="1"/>
  <c r="B602" i="1"/>
  <c r="B603" i="1" s="1"/>
  <c r="B604" i="1" s="1"/>
  <c r="BM601" i="1"/>
  <c r="AW601" i="1"/>
  <c r="AS601" i="1"/>
  <c r="AT601" i="1" s="1"/>
  <c r="AR601" i="1"/>
  <c r="AP601" i="1"/>
  <c r="Z601" i="1"/>
  <c r="BM600" i="1"/>
  <c r="AW600" i="1"/>
  <c r="AT600" i="1"/>
  <c r="AS600" i="1"/>
  <c r="AR600" i="1"/>
  <c r="AP600" i="1"/>
  <c r="Z600" i="1"/>
  <c r="CA599" i="1"/>
  <c r="BK599" i="1"/>
  <c r="AW599" i="1"/>
  <c r="AS599" i="1"/>
  <c r="AT599" i="1" s="1"/>
  <c r="AR599" i="1"/>
  <c r="AP599" i="1"/>
  <c r="Z599" i="1"/>
  <c r="BM598" i="1"/>
  <c r="AW598" i="1"/>
  <c r="AS598" i="1"/>
  <c r="AT598" i="1" s="1"/>
  <c r="AR598" i="1"/>
  <c r="AQ598" i="1"/>
  <c r="AP598" i="1"/>
  <c r="Z598" i="1"/>
  <c r="BM597" i="1"/>
  <c r="AW597" i="1"/>
  <c r="AT597" i="1"/>
  <c r="AS597" i="1"/>
  <c r="AR597" i="1"/>
  <c r="AQ597" i="1"/>
  <c r="AP597" i="1"/>
  <c r="Z597" i="1"/>
  <c r="BM596" i="1"/>
  <c r="AW596" i="1"/>
  <c r="AT596" i="1"/>
  <c r="AS596" i="1"/>
  <c r="AR596" i="1"/>
  <c r="AP596" i="1"/>
  <c r="Z596" i="1"/>
  <c r="BM595" i="1"/>
  <c r="AW595" i="1"/>
  <c r="AT595" i="1"/>
  <c r="AS595" i="1"/>
  <c r="AR595" i="1"/>
  <c r="AQ595" i="1"/>
  <c r="AP595" i="1"/>
  <c r="Z595" i="1"/>
  <c r="BM594" i="1"/>
  <c r="AW594" i="1"/>
  <c r="AS594" i="1"/>
  <c r="AT594" i="1" s="1"/>
  <c r="AR594" i="1"/>
  <c r="AQ594" i="1"/>
  <c r="AP594" i="1"/>
  <c r="Z594" i="1"/>
  <c r="BM593" i="1"/>
  <c r="AW593" i="1"/>
  <c r="AT593" i="1"/>
  <c r="AS593" i="1"/>
  <c r="AR593" i="1"/>
  <c r="AQ593" i="1"/>
  <c r="AP593" i="1"/>
  <c r="BM592" i="1"/>
  <c r="AW592" i="1"/>
  <c r="AS592" i="1"/>
  <c r="AT592" i="1" s="1"/>
  <c r="AR592" i="1"/>
  <c r="AP592" i="1"/>
  <c r="Z592" i="1"/>
  <c r="BM591" i="1"/>
  <c r="AW591" i="1"/>
  <c r="AT591" i="1"/>
  <c r="AS591" i="1"/>
  <c r="AR591" i="1"/>
  <c r="AQ591" i="1"/>
  <c r="AP591" i="1"/>
  <c r="Z591" i="1"/>
  <c r="BM590" i="1"/>
  <c r="AW590" i="1"/>
  <c r="AT590" i="1"/>
  <c r="AS590" i="1"/>
  <c r="AR590" i="1"/>
  <c r="AQ590" i="1"/>
  <c r="AP590" i="1"/>
  <c r="Z590" i="1"/>
  <c r="BM589" i="1"/>
  <c r="AW589" i="1"/>
  <c r="AS589" i="1"/>
  <c r="AT589" i="1" s="1"/>
  <c r="AR589" i="1"/>
  <c r="AP589" i="1"/>
  <c r="Z589" i="1"/>
  <c r="BM588" i="1"/>
  <c r="AW588" i="1"/>
  <c r="AS588" i="1"/>
  <c r="AT588" i="1" s="1"/>
  <c r="AR588" i="1"/>
  <c r="AP588" i="1"/>
  <c r="Y588" i="1"/>
  <c r="BM587" i="1"/>
  <c r="AW587" i="1"/>
  <c r="AT587" i="1"/>
  <c r="AS587" i="1"/>
  <c r="AR587" i="1"/>
  <c r="AP587" i="1"/>
  <c r="Z587" i="1"/>
  <c r="BM586" i="1"/>
  <c r="AW586" i="1"/>
  <c r="AT586" i="1"/>
  <c r="AS586" i="1"/>
  <c r="AR586" i="1"/>
  <c r="AP586" i="1"/>
  <c r="Z586" i="1"/>
  <c r="BM585" i="1"/>
  <c r="AW585" i="1"/>
  <c r="AT585" i="1"/>
  <c r="AS585" i="1"/>
  <c r="AR585" i="1"/>
  <c r="AP585" i="1"/>
  <c r="Z585" i="1"/>
  <c r="X585" i="1"/>
  <c r="BM584" i="1"/>
  <c r="AW584" i="1"/>
  <c r="AT584" i="1"/>
  <c r="AS584" i="1"/>
  <c r="AR584" i="1"/>
  <c r="AP584" i="1"/>
  <c r="Y584" i="1"/>
  <c r="BM583" i="1"/>
  <c r="AW583" i="1"/>
  <c r="AT583" i="1"/>
  <c r="AR583" i="1"/>
  <c r="AP583" i="1"/>
  <c r="Z583" i="1"/>
  <c r="BM582" i="1"/>
  <c r="AW582" i="1"/>
  <c r="AT582" i="1"/>
  <c r="AS582" i="1"/>
  <c r="AR582" i="1"/>
  <c r="AP582" i="1"/>
  <c r="Z582" i="1"/>
  <c r="BM581" i="1"/>
  <c r="AW581" i="1"/>
  <c r="AT581" i="1"/>
  <c r="AS581" i="1"/>
  <c r="AR581" i="1"/>
  <c r="AP581" i="1"/>
  <c r="Y581" i="1"/>
  <c r="BM580" i="1"/>
  <c r="AW580" i="1"/>
  <c r="AT580" i="1"/>
  <c r="AS580" i="1"/>
  <c r="AR580" i="1"/>
  <c r="AP580" i="1"/>
  <c r="Z580" i="1"/>
  <c r="BM579" i="1"/>
  <c r="AW579" i="1"/>
  <c r="AT579" i="1"/>
  <c r="AS579" i="1"/>
  <c r="AR579" i="1"/>
  <c r="AP579" i="1"/>
  <c r="Z579" i="1"/>
  <c r="BM578" i="1"/>
  <c r="AW578" i="1"/>
  <c r="AT578" i="1"/>
  <c r="AS578" i="1"/>
  <c r="AR578" i="1"/>
  <c r="AP578" i="1"/>
  <c r="Z578" i="1"/>
  <c r="BM577" i="1"/>
  <c r="AW577" i="1"/>
  <c r="AS577" i="1"/>
  <c r="AT577" i="1" s="1"/>
  <c r="AR577" i="1"/>
  <c r="AQ577" i="1"/>
  <c r="AP577" i="1"/>
  <c r="Z577" i="1"/>
  <c r="BM576" i="1"/>
  <c r="AW576" i="1"/>
  <c r="AS576" i="1"/>
  <c r="AT576" i="1" s="1"/>
  <c r="AR576" i="1"/>
  <c r="AP576" i="1"/>
  <c r="BM575" i="1"/>
  <c r="AW575" i="1"/>
  <c r="AS575" i="1"/>
  <c r="AT575" i="1" s="1"/>
  <c r="AR575" i="1"/>
  <c r="AP575" i="1"/>
  <c r="BM574" i="1"/>
  <c r="AW574" i="1"/>
  <c r="AS574" i="1"/>
  <c r="AT574" i="1" s="1"/>
  <c r="AR574" i="1"/>
  <c r="AP574" i="1"/>
  <c r="Z574" i="1"/>
  <c r="BM573" i="1"/>
  <c r="AW573" i="1"/>
  <c r="AS573" i="1"/>
  <c r="AT573" i="1" s="1"/>
  <c r="AR573" i="1"/>
  <c r="AP573" i="1"/>
  <c r="Z573" i="1"/>
  <c r="BM572" i="1"/>
  <c r="AW572" i="1"/>
  <c r="AS572" i="1"/>
  <c r="AT572" i="1" s="1"/>
  <c r="AR572" i="1"/>
  <c r="AP572" i="1"/>
  <c r="Z572" i="1"/>
  <c r="BM571" i="1"/>
  <c r="AW571" i="1"/>
  <c r="AT571" i="1"/>
  <c r="AS571" i="1"/>
  <c r="AR571" i="1"/>
  <c r="AQ571" i="1"/>
  <c r="AP571" i="1"/>
  <c r="Z571" i="1"/>
  <c r="BM570" i="1"/>
  <c r="AW570" i="1"/>
  <c r="AT570" i="1"/>
  <c r="AS570" i="1"/>
  <c r="AR570" i="1"/>
  <c r="AQ570" i="1"/>
  <c r="AP570" i="1"/>
  <c r="Z570" i="1"/>
  <c r="BM569" i="1"/>
  <c r="AW569" i="1"/>
  <c r="AS569" i="1"/>
  <c r="AT569" i="1" s="1"/>
  <c r="AR569" i="1"/>
  <c r="AP569" i="1"/>
  <c r="Z569" i="1"/>
  <c r="BM568" i="1"/>
  <c r="AW568" i="1"/>
  <c r="AS568" i="1"/>
  <c r="AT568" i="1" s="1"/>
  <c r="AR568" i="1"/>
  <c r="AP568" i="1"/>
  <c r="Z568" i="1"/>
  <c r="BM567" i="1"/>
  <c r="AW567" i="1"/>
  <c r="AS567" i="1"/>
  <c r="AT567" i="1" s="1"/>
  <c r="AR567" i="1"/>
  <c r="AP567" i="1"/>
  <c r="Z567" i="1"/>
  <c r="BM566" i="1"/>
  <c r="AW566" i="1"/>
  <c r="AS566" i="1"/>
  <c r="AT566" i="1" s="1"/>
  <c r="AR566" i="1"/>
  <c r="AQ566" i="1"/>
  <c r="AP566" i="1"/>
  <c r="Z566" i="1"/>
  <c r="BM565" i="1"/>
  <c r="AW565" i="1"/>
  <c r="AT565" i="1"/>
  <c r="AS565" i="1"/>
  <c r="AR565" i="1"/>
  <c r="AP565" i="1"/>
  <c r="Z565" i="1"/>
  <c r="BM564" i="1"/>
  <c r="AW564" i="1"/>
  <c r="AT564" i="1"/>
  <c r="AS564" i="1"/>
  <c r="AR564" i="1"/>
  <c r="AQ564" i="1"/>
  <c r="AP564" i="1"/>
  <c r="Z564" i="1"/>
  <c r="BM563" i="1"/>
  <c r="AW563" i="1"/>
  <c r="AS563" i="1"/>
  <c r="AT563" i="1" s="1"/>
  <c r="AR563" i="1"/>
  <c r="AP563" i="1"/>
  <c r="Z563" i="1"/>
  <c r="BM562" i="1"/>
  <c r="AW562" i="1"/>
  <c r="AS562" i="1"/>
  <c r="AT562" i="1" s="1"/>
  <c r="AR562" i="1"/>
  <c r="AP562" i="1"/>
  <c r="Z562" i="1"/>
  <c r="BM561" i="1"/>
  <c r="AW561" i="1"/>
  <c r="AS561" i="1"/>
  <c r="AT561" i="1" s="1"/>
  <c r="AR561" i="1"/>
  <c r="AP561" i="1"/>
  <c r="Z561" i="1"/>
  <c r="BM560" i="1"/>
  <c r="AW560" i="1"/>
  <c r="AS560" i="1"/>
  <c r="AT560" i="1" s="1"/>
  <c r="AR560" i="1"/>
  <c r="AP560" i="1"/>
  <c r="Z560" i="1"/>
  <c r="BM559" i="1"/>
  <c r="AW559" i="1"/>
  <c r="AS559" i="1"/>
  <c r="AT559" i="1" s="1"/>
  <c r="AR559" i="1"/>
  <c r="AQ559" i="1"/>
  <c r="AP559" i="1"/>
  <c r="Z559" i="1"/>
  <c r="BM558" i="1"/>
  <c r="AW558" i="1"/>
  <c r="AT558" i="1"/>
  <c r="AS558" i="1"/>
  <c r="AR558" i="1"/>
  <c r="AP558" i="1"/>
  <c r="Z558" i="1"/>
  <c r="BM557" i="1"/>
  <c r="AW557" i="1"/>
  <c r="AT557" i="1"/>
  <c r="AS557" i="1"/>
  <c r="AR557" i="1"/>
  <c r="AP557" i="1"/>
  <c r="Z557" i="1"/>
  <c r="BM556" i="1"/>
  <c r="AW556" i="1"/>
  <c r="AS556" i="1"/>
  <c r="AT556" i="1" s="1"/>
  <c r="AR556" i="1"/>
  <c r="AQ556" i="1"/>
  <c r="AP556" i="1"/>
  <c r="Z556" i="1"/>
  <c r="BM555" i="1"/>
  <c r="AW555" i="1"/>
  <c r="AS555" i="1"/>
  <c r="AT555" i="1" s="1"/>
  <c r="AR555" i="1"/>
  <c r="AQ555" i="1"/>
  <c r="AP555" i="1"/>
  <c r="Z555" i="1"/>
  <c r="BM554" i="1"/>
  <c r="AW554" i="1"/>
  <c r="AT554" i="1"/>
  <c r="AS554" i="1"/>
  <c r="AR554" i="1"/>
  <c r="AQ554" i="1"/>
  <c r="AP554" i="1"/>
  <c r="Z554" i="1"/>
  <c r="BM553" i="1"/>
  <c r="AW553" i="1"/>
  <c r="AS553" i="1"/>
  <c r="AT553" i="1" s="1"/>
  <c r="AR553" i="1"/>
  <c r="AP553" i="1"/>
  <c r="Z553" i="1"/>
  <c r="BM552" i="1"/>
  <c r="AW552" i="1"/>
  <c r="AS552" i="1"/>
  <c r="AT552" i="1" s="1"/>
  <c r="AR552" i="1"/>
  <c r="AP552" i="1"/>
  <c r="Z552" i="1"/>
  <c r="BM551" i="1"/>
  <c r="AW551" i="1"/>
  <c r="AT551" i="1"/>
  <c r="AP551" i="1"/>
  <c r="BM550" i="1"/>
  <c r="AW550" i="1"/>
  <c r="AS550" i="1"/>
  <c r="AT550" i="1" s="1"/>
  <c r="AR550" i="1"/>
  <c r="AQ550" i="1"/>
  <c r="AP550" i="1"/>
  <c r="Z550" i="1"/>
  <c r="BM549" i="1"/>
  <c r="AW549" i="1"/>
  <c r="AT549" i="1"/>
  <c r="AS549" i="1"/>
  <c r="AR549" i="1"/>
  <c r="AQ549" i="1"/>
  <c r="AP549" i="1"/>
  <c r="Z549" i="1"/>
  <c r="BM548" i="1"/>
  <c r="AW548" i="1"/>
  <c r="AS548" i="1"/>
  <c r="AT548" i="1" s="1"/>
  <c r="AR548" i="1"/>
  <c r="AQ548" i="1"/>
  <c r="AP548" i="1"/>
  <c r="Z548" i="1"/>
  <c r="BM547" i="1"/>
  <c r="AW547" i="1"/>
  <c r="AT547" i="1"/>
  <c r="AS547" i="1"/>
  <c r="AR547" i="1"/>
  <c r="AP547" i="1"/>
  <c r="Z547" i="1"/>
  <c r="BM546" i="1"/>
  <c r="AW546" i="1"/>
  <c r="AS546" i="1"/>
  <c r="AT546" i="1" s="1"/>
  <c r="AR546" i="1"/>
  <c r="AQ546" i="1"/>
  <c r="AP546" i="1"/>
  <c r="Z546" i="1"/>
  <c r="BM545" i="1"/>
  <c r="AW545" i="1"/>
  <c r="AS545" i="1"/>
  <c r="AT545" i="1" s="1"/>
  <c r="AR545" i="1"/>
  <c r="AP545" i="1"/>
  <c r="Z545" i="1"/>
  <c r="BM544" i="1"/>
  <c r="AW544" i="1"/>
  <c r="AS544" i="1"/>
  <c r="AT544" i="1" s="1"/>
  <c r="AR544" i="1"/>
  <c r="AP544" i="1"/>
  <c r="Z544" i="1"/>
  <c r="BM543" i="1"/>
  <c r="AW543" i="1"/>
  <c r="AT543" i="1"/>
  <c r="AR543" i="1"/>
  <c r="AP543" i="1"/>
  <c r="Z543" i="1"/>
  <c r="BM542" i="1"/>
  <c r="AW542" i="1"/>
  <c r="AS542" i="1"/>
  <c r="AT542" i="1" s="1"/>
  <c r="AR542" i="1"/>
  <c r="AQ542" i="1"/>
  <c r="AP542" i="1"/>
  <c r="Z542" i="1"/>
  <c r="BM541" i="1"/>
  <c r="AW541" i="1"/>
  <c r="AS541" i="1"/>
  <c r="AT541" i="1" s="1"/>
  <c r="AR541" i="1"/>
  <c r="AQ541" i="1"/>
  <c r="AP541" i="1"/>
  <c r="Z541" i="1"/>
  <c r="BM540" i="1"/>
  <c r="AW540" i="1"/>
  <c r="AT540" i="1"/>
  <c r="AS540" i="1"/>
  <c r="AR540" i="1"/>
  <c r="AQ540" i="1"/>
  <c r="AP540" i="1"/>
  <c r="Z540" i="1"/>
  <c r="BM539" i="1"/>
  <c r="AW539" i="1"/>
  <c r="AS539" i="1"/>
  <c r="AT539" i="1" s="1"/>
  <c r="AR539" i="1"/>
  <c r="AQ539" i="1"/>
  <c r="AP539" i="1"/>
  <c r="Z539" i="1"/>
  <c r="BM538" i="1"/>
  <c r="AW538" i="1"/>
  <c r="AT538" i="1"/>
  <c r="AS538" i="1"/>
  <c r="AR538" i="1"/>
  <c r="AP538" i="1"/>
  <c r="BM537" i="1"/>
  <c r="AW537" i="1"/>
  <c r="AS537" i="1"/>
  <c r="AT537" i="1" s="1"/>
  <c r="AR537" i="1"/>
  <c r="AQ537" i="1"/>
  <c r="AP537" i="1"/>
  <c r="Z537" i="1"/>
  <c r="BM536" i="1"/>
  <c r="AW536" i="1"/>
  <c r="AT536" i="1"/>
  <c r="AS536" i="1"/>
  <c r="AR536" i="1"/>
  <c r="AP536" i="1"/>
  <c r="Z536" i="1"/>
  <c r="BM535" i="1"/>
  <c r="AW535" i="1"/>
  <c r="AS535" i="1"/>
  <c r="AT535" i="1" s="1"/>
  <c r="AR535" i="1"/>
  <c r="AQ535" i="1"/>
  <c r="AP535" i="1"/>
  <c r="Z535" i="1"/>
  <c r="BM534" i="1"/>
  <c r="AW534" i="1"/>
  <c r="AT534" i="1"/>
  <c r="AS534" i="1"/>
  <c r="AR534" i="1"/>
  <c r="AP534" i="1"/>
  <c r="Z534" i="1"/>
  <c r="BM533" i="1"/>
  <c r="AW533" i="1"/>
  <c r="AS533" i="1"/>
  <c r="AT533" i="1" s="1"/>
  <c r="AR533" i="1"/>
  <c r="AQ533" i="1"/>
  <c r="AP533" i="1"/>
  <c r="Z533" i="1"/>
  <c r="BM532" i="1"/>
  <c r="AW532" i="1"/>
  <c r="AT532" i="1"/>
  <c r="AS532" i="1"/>
  <c r="AR532" i="1"/>
  <c r="AP532" i="1"/>
  <c r="Z532" i="1"/>
  <c r="BM531" i="1"/>
  <c r="AW531" i="1"/>
  <c r="AT531" i="1"/>
  <c r="AS531" i="1"/>
  <c r="AR531" i="1"/>
  <c r="AQ531" i="1"/>
  <c r="AP531" i="1"/>
  <c r="Z531" i="1"/>
  <c r="BM530" i="1"/>
  <c r="AW530" i="1"/>
  <c r="AS530" i="1"/>
  <c r="AT530" i="1" s="1"/>
  <c r="AR530" i="1"/>
  <c r="AP530" i="1"/>
  <c r="Z530" i="1"/>
  <c r="BM529" i="1"/>
  <c r="AW529" i="1"/>
  <c r="AS529" i="1"/>
  <c r="AT529" i="1" s="1"/>
  <c r="AR529" i="1"/>
  <c r="AP529" i="1"/>
  <c r="Z529" i="1"/>
  <c r="BU528" i="1"/>
  <c r="BM528" i="1"/>
  <c r="BE528" i="1"/>
  <c r="AW528" i="1" s="1"/>
  <c r="AS528" i="1"/>
  <c r="AT528" i="1" s="1"/>
  <c r="AR528" i="1"/>
  <c r="AP528" i="1"/>
  <c r="Z528" i="1"/>
  <c r="BU527" i="1"/>
  <c r="BM527" i="1"/>
  <c r="BE527" i="1"/>
  <c r="AW527" i="1"/>
  <c r="AS527" i="1"/>
  <c r="AT527" i="1" s="1"/>
  <c r="AR527" i="1"/>
  <c r="AP527" i="1"/>
  <c r="Z527" i="1"/>
  <c r="BM526" i="1"/>
  <c r="AW526" i="1"/>
  <c r="AS526" i="1"/>
  <c r="AT526" i="1" s="1"/>
  <c r="AR526" i="1"/>
  <c r="AP526" i="1"/>
  <c r="Z526" i="1"/>
  <c r="BM525" i="1"/>
  <c r="AW525" i="1"/>
  <c r="AS525" i="1"/>
  <c r="AT525" i="1" s="1"/>
  <c r="AR525" i="1"/>
  <c r="AQ525" i="1"/>
  <c r="AP525" i="1"/>
  <c r="Z525" i="1"/>
  <c r="BM524" i="1"/>
  <c r="AW524" i="1"/>
  <c r="AT524" i="1"/>
  <c r="AS524" i="1"/>
  <c r="AR524" i="1"/>
  <c r="AP524" i="1"/>
  <c r="Z524" i="1"/>
  <c r="BM523" i="1"/>
  <c r="AW523" i="1"/>
  <c r="AS523" i="1"/>
  <c r="AT523" i="1" s="1"/>
  <c r="AR523" i="1"/>
  <c r="AQ523" i="1"/>
  <c r="AP523" i="1"/>
  <c r="Z523" i="1"/>
  <c r="BM522" i="1"/>
  <c r="AW522" i="1"/>
  <c r="AT522" i="1"/>
  <c r="AS522" i="1"/>
  <c r="AR522" i="1"/>
  <c r="AQ522" i="1"/>
  <c r="AP522" i="1"/>
  <c r="Z522" i="1"/>
  <c r="BM521" i="1"/>
  <c r="AW521" i="1"/>
  <c r="AT521" i="1"/>
  <c r="AS521" i="1"/>
  <c r="AR521" i="1"/>
  <c r="AP521" i="1"/>
  <c r="Z521" i="1"/>
  <c r="BM520" i="1"/>
  <c r="AW520" i="1"/>
  <c r="AT520" i="1"/>
  <c r="AS520" i="1"/>
  <c r="AR520" i="1"/>
  <c r="AQ520" i="1"/>
  <c r="AP520" i="1"/>
  <c r="Z520" i="1"/>
  <c r="BM519" i="1"/>
  <c r="AW519" i="1"/>
  <c r="AS519" i="1"/>
  <c r="AT519" i="1" s="1"/>
  <c r="AR519" i="1"/>
  <c r="AP519" i="1"/>
  <c r="Z519" i="1"/>
  <c r="BM518" i="1"/>
  <c r="AW518" i="1"/>
  <c r="AS518" i="1"/>
  <c r="AT518" i="1" s="1"/>
  <c r="AR518" i="1"/>
  <c r="AP518" i="1"/>
  <c r="Z518" i="1"/>
  <c r="BM517" i="1"/>
  <c r="AW517" i="1"/>
  <c r="AS517" i="1"/>
  <c r="AT517" i="1" s="1"/>
  <c r="AR517" i="1"/>
  <c r="AP517" i="1"/>
  <c r="BM516" i="1"/>
  <c r="AW516" i="1"/>
  <c r="AT516" i="1"/>
  <c r="AR516" i="1"/>
  <c r="AQ516" i="1"/>
  <c r="AP516" i="1"/>
  <c r="Z516" i="1"/>
  <c r="BM515" i="1"/>
  <c r="AW515" i="1"/>
  <c r="AS515" i="1"/>
  <c r="AT515" i="1" s="1"/>
  <c r="AR515" i="1"/>
  <c r="AP515" i="1"/>
  <c r="BM514" i="1"/>
  <c r="AW514" i="1"/>
  <c r="AT514" i="1"/>
  <c r="AS514" i="1"/>
  <c r="AR514" i="1"/>
  <c r="AQ514" i="1"/>
  <c r="AP514" i="1"/>
  <c r="Z514" i="1"/>
  <c r="BM513" i="1"/>
  <c r="AW513" i="1"/>
  <c r="AT513" i="1"/>
  <c r="AS513" i="1"/>
  <c r="AR513" i="1"/>
  <c r="AP513" i="1"/>
  <c r="BM512" i="1"/>
  <c r="AW512" i="1"/>
  <c r="AT512" i="1"/>
  <c r="AS512" i="1"/>
  <c r="AR512" i="1"/>
  <c r="AP512" i="1"/>
  <c r="BM511" i="1"/>
  <c r="AW511" i="1"/>
  <c r="AT511" i="1"/>
  <c r="AS511" i="1"/>
  <c r="AR511" i="1"/>
  <c r="AP511" i="1"/>
  <c r="BM510" i="1"/>
  <c r="AW510" i="1"/>
  <c r="AS510" i="1"/>
  <c r="AT510" i="1" s="1"/>
  <c r="AR510" i="1"/>
  <c r="AP510" i="1"/>
  <c r="BM509" i="1"/>
  <c r="AW509" i="1"/>
  <c r="AS509" i="1"/>
  <c r="AT509" i="1" s="1"/>
  <c r="AR509" i="1"/>
  <c r="AP509" i="1"/>
  <c r="BM508" i="1"/>
  <c r="AW508" i="1"/>
  <c r="AS508" i="1"/>
  <c r="AT508" i="1" s="1"/>
  <c r="AR508" i="1"/>
  <c r="AP508" i="1"/>
  <c r="Z508" i="1"/>
  <c r="BM507" i="1"/>
  <c r="AW507" i="1"/>
  <c r="AS507" i="1"/>
  <c r="AT507" i="1" s="1"/>
  <c r="AR507" i="1"/>
  <c r="AQ507" i="1"/>
  <c r="AP507" i="1"/>
  <c r="Z507" i="1"/>
  <c r="BM506" i="1"/>
  <c r="AW506" i="1"/>
  <c r="AT506" i="1"/>
  <c r="AS506" i="1"/>
  <c r="AR506" i="1"/>
  <c r="AP506" i="1"/>
  <c r="Z506" i="1"/>
  <c r="BM505" i="1"/>
  <c r="AW505" i="1"/>
  <c r="AS505" i="1"/>
  <c r="AT505" i="1" s="1"/>
  <c r="AR505" i="1"/>
  <c r="AP505" i="1"/>
  <c r="Z505" i="1"/>
  <c r="BM504" i="1"/>
  <c r="AW504" i="1"/>
  <c r="AT504" i="1"/>
  <c r="AS504" i="1"/>
  <c r="AR504" i="1"/>
  <c r="AQ504" i="1"/>
  <c r="AP504" i="1"/>
  <c r="Z504" i="1"/>
  <c r="BM503" i="1"/>
  <c r="AW503" i="1"/>
  <c r="AS503" i="1"/>
  <c r="AT503" i="1" s="1"/>
  <c r="AR503" i="1"/>
  <c r="AP503" i="1"/>
  <c r="Z503" i="1"/>
  <c r="BM502" i="1"/>
  <c r="AW502" i="1"/>
  <c r="AS502" i="1"/>
  <c r="AT502" i="1" s="1"/>
  <c r="AR502" i="1"/>
  <c r="AQ502" i="1"/>
  <c r="AP502" i="1"/>
  <c r="Z502" i="1"/>
  <c r="BM501" i="1"/>
  <c r="AW501" i="1"/>
  <c r="AS501" i="1"/>
  <c r="AT501" i="1" s="1"/>
  <c r="AR501" i="1"/>
  <c r="AQ501" i="1"/>
  <c r="AP501" i="1"/>
  <c r="Y501" i="1"/>
  <c r="BM500" i="1"/>
  <c r="AW500" i="1"/>
  <c r="AS500" i="1"/>
  <c r="AT500" i="1" s="1"/>
  <c r="AR500" i="1"/>
  <c r="AQ500" i="1"/>
  <c r="AP500" i="1"/>
  <c r="Y500" i="1"/>
  <c r="BM499" i="1"/>
  <c r="AW499" i="1"/>
  <c r="AT499" i="1"/>
  <c r="AS499" i="1"/>
  <c r="AR499" i="1"/>
  <c r="AQ499" i="1"/>
  <c r="AP499" i="1"/>
  <c r="Y499" i="1"/>
  <c r="BM498" i="1"/>
  <c r="AW498" i="1"/>
  <c r="AT498" i="1"/>
  <c r="AS498" i="1"/>
  <c r="AR498" i="1"/>
  <c r="AP498" i="1"/>
  <c r="Y498" i="1"/>
  <c r="A498" i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BM497" i="1"/>
  <c r="AW497" i="1"/>
  <c r="AS497" i="1"/>
  <c r="AT497" i="1" s="1"/>
  <c r="AR497" i="1"/>
  <c r="AP497" i="1"/>
  <c r="Y497" i="1"/>
  <c r="BM496" i="1"/>
  <c r="AW496" i="1"/>
  <c r="AT496" i="1"/>
  <c r="AS496" i="1"/>
  <c r="AR496" i="1"/>
  <c r="AQ496" i="1"/>
  <c r="AP496" i="1"/>
  <c r="Y496" i="1"/>
  <c r="BM495" i="1"/>
  <c r="AW495" i="1"/>
  <c r="AT495" i="1"/>
  <c r="AS495" i="1"/>
  <c r="AR495" i="1"/>
  <c r="AP495" i="1"/>
  <c r="Z495" i="1"/>
  <c r="BM494" i="1"/>
  <c r="AW494" i="1"/>
  <c r="AS494" i="1"/>
  <c r="AT494" i="1" s="1"/>
  <c r="AR494" i="1"/>
  <c r="AQ494" i="1"/>
  <c r="AP494" i="1"/>
  <c r="Z494" i="1"/>
  <c r="BM493" i="1"/>
  <c r="AW493" i="1"/>
  <c r="AS493" i="1"/>
  <c r="AT493" i="1" s="1"/>
  <c r="AR493" i="1"/>
  <c r="AQ493" i="1"/>
  <c r="AP493" i="1"/>
  <c r="Z493" i="1"/>
  <c r="BM492" i="1"/>
  <c r="AW492" i="1"/>
  <c r="AS492" i="1"/>
  <c r="AT492" i="1" s="1"/>
  <c r="AR492" i="1"/>
  <c r="AP492" i="1"/>
  <c r="Z492" i="1"/>
  <c r="BM491" i="1"/>
  <c r="AW491" i="1"/>
  <c r="AT491" i="1"/>
  <c r="AS491" i="1"/>
  <c r="AR491" i="1"/>
  <c r="AQ491" i="1"/>
  <c r="AP491" i="1"/>
  <c r="Z491" i="1"/>
  <c r="BM490" i="1"/>
  <c r="AW490" i="1"/>
  <c r="AS490" i="1"/>
  <c r="AT490" i="1" s="1"/>
  <c r="AR490" i="1"/>
  <c r="AP490" i="1"/>
  <c r="Y490" i="1"/>
  <c r="CB489" i="1"/>
  <c r="BL489" i="1"/>
  <c r="AW489" i="1" s="1"/>
  <c r="AS489" i="1"/>
  <c r="AT489" i="1" s="1"/>
  <c r="AR489" i="1"/>
  <c r="AP489" i="1"/>
  <c r="Z489" i="1"/>
  <c r="BM488" i="1"/>
  <c r="AW488" i="1"/>
  <c r="AS488" i="1"/>
  <c r="AR488" i="1"/>
  <c r="AP488" i="1"/>
  <c r="BM487" i="1"/>
  <c r="AW487" i="1"/>
  <c r="AS487" i="1"/>
  <c r="AT487" i="1" s="1"/>
  <c r="AR487" i="1"/>
  <c r="AP487" i="1"/>
  <c r="Y487" i="1"/>
  <c r="BM486" i="1"/>
  <c r="AW486" i="1"/>
  <c r="AS486" i="1"/>
  <c r="AT486" i="1" s="1"/>
  <c r="AR486" i="1"/>
  <c r="AP486" i="1"/>
  <c r="Y486" i="1"/>
  <c r="BM485" i="1"/>
  <c r="AW485" i="1"/>
  <c r="AT485" i="1"/>
  <c r="AS485" i="1"/>
  <c r="AR485" i="1"/>
  <c r="AQ485" i="1"/>
  <c r="AP485" i="1"/>
  <c r="Z485" i="1"/>
  <c r="BM484" i="1"/>
  <c r="AW484" i="1"/>
  <c r="AT484" i="1"/>
  <c r="AS484" i="1"/>
  <c r="AR484" i="1"/>
  <c r="AQ484" i="1"/>
  <c r="AP484" i="1"/>
  <c r="Z484" i="1"/>
  <c r="A484" i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BM483" i="1"/>
  <c r="AW483" i="1"/>
  <c r="AS483" i="1"/>
  <c r="AT483" i="1" s="1"/>
  <c r="AR483" i="1"/>
  <c r="AP483" i="1"/>
  <c r="Z483" i="1"/>
  <c r="A483" i="1"/>
  <c r="BM482" i="1"/>
  <c r="AW482" i="1"/>
  <c r="AS482" i="1"/>
  <c r="AT482" i="1" s="1"/>
  <c r="AR482" i="1"/>
  <c r="AP482" i="1"/>
  <c r="Y482" i="1"/>
  <c r="B482" i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Z481" i="1"/>
  <c r="BY481" i="1"/>
  <c r="BX481" i="1"/>
  <c r="BW481" i="1"/>
  <c r="BV481" i="1"/>
  <c r="BU481" i="1"/>
  <c r="BT481" i="1"/>
  <c r="BS481" i="1"/>
  <c r="BR481" i="1"/>
  <c r="BQ481" i="1"/>
  <c r="BP481" i="1"/>
  <c r="BO481" i="1"/>
  <c r="BN481" i="1"/>
  <c r="BJ481" i="1"/>
  <c r="BI481" i="1"/>
  <c r="BH481" i="1"/>
  <c r="BG481" i="1"/>
  <c r="BF481" i="1"/>
  <c r="BE481" i="1"/>
  <c r="BD481" i="1"/>
  <c r="BC481" i="1"/>
  <c r="BB481" i="1"/>
  <c r="BA481" i="1"/>
  <c r="AZ481" i="1"/>
  <c r="AY481" i="1"/>
  <c r="AX481" i="1"/>
  <c r="AT481" i="1"/>
  <c r="T481" i="1"/>
  <c r="S481" i="1"/>
  <c r="R481" i="1"/>
  <c r="Q481" i="1"/>
  <c r="P481" i="1"/>
  <c r="N481" i="1"/>
  <c r="M481" i="1"/>
  <c r="L481" i="1"/>
  <c r="K481" i="1"/>
  <c r="J481" i="1"/>
  <c r="BM480" i="1"/>
  <c r="AW480" i="1"/>
  <c r="AS480" i="1"/>
  <c r="AT480" i="1" s="1"/>
  <c r="AR480" i="1"/>
  <c r="AQ480" i="1"/>
  <c r="AO480" i="1"/>
  <c r="AN480" i="1"/>
  <c r="AM480" i="1"/>
  <c r="Z480" i="1" s="1"/>
  <c r="N480" i="1"/>
  <c r="AP480" i="1" s="1"/>
  <c r="BM479" i="1"/>
  <c r="AW479" i="1"/>
  <c r="AS479" i="1"/>
  <c r="AT479" i="1" s="1"/>
  <c r="AR479" i="1"/>
  <c r="AP479" i="1"/>
  <c r="Z479" i="1"/>
  <c r="N479" i="1"/>
  <c r="BM478" i="1"/>
  <c r="AW478" i="1"/>
  <c r="AT478" i="1"/>
  <c r="AS478" i="1"/>
  <c r="AR478" i="1"/>
  <c r="AQ478" i="1"/>
  <c r="AP478" i="1"/>
  <c r="Z478" i="1"/>
  <c r="N478" i="1"/>
  <c r="BM477" i="1"/>
  <c r="AW477" i="1"/>
  <c r="AT477" i="1"/>
  <c r="AS477" i="1"/>
  <c r="AR477" i="1"/>
  <c r="Z477" i="1"/>
  <c r="N477" i="1"/>
  <c r="AP477" i="1" s="1"/>
  <c r="BM476" i="1"/>
  <c r="AW476" i="1"/>
  <c r="AS476" i="1"/>
  <c r="AT476" i="1" s="1"/>
  <c r="AR476" i="1"/>
  <c r="AQ476" i="1"/>
  <c r="AP476" i="1"/>
  <c r="Z476" i="1"/>
  <c r="N476" i="1"/>
  <c r="BM475" i="1"/>
  <c r="AW475" i="1"/>
  <c r="AT475" i="1"/>
  <c r="AS475" i="1"/>
  <c r="AR475" i="1"/>
  <c r="AQ475" i="1"/>
  <c r="Z475" i="1"/>
  <c r="N475" i="1"/>
  <c r="AP475" i="1" s="1"/>
  <c r="BM474" i="1"/>
  <c r="AW474" i="1"/>
  <c r="AT474" i="1"/>
  <c r="AS474" i="1"/>
  <c r="AR474" i="1"/>
  <c r="AQ474" i="1"/>
  <c r="AP474" i="1"/>
  <c r="Z474" i="1"/>
  <c r="N474" i="1"/>
  <c r="BM473" i="1"/>
  <c r="AW473" i="1"/>
  <c r="AT473" i="1"/>
  <c r="AS473" i="1"/>
  <c r="AR473" i="1"/>
  <c r="AQ473" i="1"/>
  <c r="AP473" i="1"/>
  <c r="Z473" i="1"/>
  <c r="N473" i="1"/>
  <c r="B473" i="1"/>
  <c r="BM472" i="1"/>
  <c r="AW472" i="1"/>
  <c r="AT472" i="1"/>
  <c r="AS472" i="1"/>
  <c r="AR472" i="1"/>
  <c r="Z472" i="1"/>
  <c r="N472" i="1"/>
  <c r="AP472" i="1" s="1"/>
  <c r="BM471" i="1"/>
  <c r="AW471" i="1"/>
  <c r="AS471" i="1"/>
  <c r="AT471" i="1" s="1"/>
  <c r="AR471" i="1"/>
  <c r="AP471" i="1"/>
  <c r="Z471" i="1"/>
  <c r="N471" i="1"/>
  <c r="BM470" i="1"/>
  <c r="AW470" i="1"/>
  <c r="AT470" i="1"/>
  <c r="AS470" i="1"/>
  <c r="AR470" i="1"/>
  <c r="AQ470" i="1"/>
  <c r="Z470" i="1"/>
  <c r="N470" i="1"/>
  <c r="AP470" i="1" s="1"/>
  <c r="BM469" i="1"/>
  <c r="AW469" i="1"/>
  <c r="AT469" i="1"/>
  <c r="AS469" i="1"/>
  <c r="AR469" i="1"/>
  <c r="AQ469" i="1"/>
  <c r="AP469" i="1"/>
  <c r="Z469" i="1"/>
  <c r="N469" i="1"/>
  <c r="BM468" i="1"/>
  <c r="AW468" i="1"/>
  <c r="AS468" i="1"/>
  <c r="AT468" i="1" s="1"/>
  <c r="AR468" i="1"/>
  <c r="AP468" i="1"/>
  <c r="Z468" i="1"/>
  <c r="N468" i="1"/>
  <c r="BM467" i="1"/>
  <c r="AW467" i="1"/>
  <c r="AS467" i="1"/>
  <c r="AT467" i="1" s="1"/>
  <c r="AR467" i="1"/>
  <c r="AQ467" i="1"/>
  <c r="Z467" i="1"/>
  <c r="N467" i="1"/>
  <c r="AP467" i="1" s="1"/>
  <c r="BM466" i="1"/>
  <c r="AW466" i="1"/>
  <c r="AS466" i="1"/>
  <c r="AT466" i="1" s="1"/>
  <c r="AR466" i="1"/>
  <c r="AP466" i="1"/>
  <c r="Z466" i="1"/>
  <c r="N466" i="1"/>
  <c r="BM465" i="1"/>
  <c r="AW465" i="1"/>
  <c r="AT465" i="1"/>
  <c r="AS465" i="1"/>
  <c r="AR465" i="1"/>
  <c r="Z465" i="1"/>
  <c r="N465" i="1"/>
  <c r="AP465" i="1" s="1"/>
  <c r="BM464" i="1"/>
  <c r="AW464" i="1"/>
  <c r="AS464" i="1"/>
  <c r="AT464" i="1" s="1"/>
  <c r="AR464" i="1"/>
  <c r="AQ464" i="1"/>
  <c r="AP464" i="1"/>
  <c r="Z464" i="1"/>
  <c r="N464" i="1"/>
  <c r="BM463" i="1"/>
  <c r="AW463" i="1"/>
  <c r="AT463" i="1"/>
  <c r="AS463" i="1"/>
  <c r="AR463" i="1"/>
  <c r="Z463" i="1"/>
  <c r="N463" i="1"/>
  <c r="AP463" i="1" s="1"/>
  <c r="BM462" i="1"/>
  <c r="AW462" i="1"/>
  <c r="AS462" i="1"/>
  <c r="AT462" i="1" s="1"/>
  <c r="AR462" i="1"/>
  <c r="AP462" i="1"/>
  <c r="Z462" i="1"/>
  <c r="N462" i="1"/>
  <c r="BM461" i="1"/>
  <c r="AW461" i="1"/>
  <c r="AT461" i="1"/>
  <c r="AS461" i="1"/>
  <c r="AR461" i="1"/>
  <c r="N461" i="1"/>
  <c r="AP461" i="1" s="1"/>
  <c r="BM460" i="1"/>
  <c r="AW460" i="1"/>
  <c r="AT460" i="1"/>
  <c r="AS460" i="1"/>
  <c r="AR460" i="1"/>
  <c r="AQ460" i="1"/>
  <c r="AP460" i="1"/>
  <c r="Z460" i="1"/>
  <c r="N460" i="1"/>
  <c r="BM459" i="1"/>
  <c r="AW459" i="1"/>
  <c r="AT459" i="1"/>
  <c r="AS459" i="1"/>
  <c r="AR459" i="1"/>
  <c r="AQ459" i="1"/>
  <c r="Z459" i="1"/>
  <c r="N459" i="1"/>
  <c r="AP459" i="1" s="1"/>
  <c r="BM458" i="1"/>
  <c r="AW458" i="1"/>
  <c r="AS458" i="1"/>
  <c r="AT458" i="1" s="1"/>
  <c r="AR458" i="1"/>
  <c r="AQ458" i="1"/>
  <c r="AP458" i="1"/>
  <c r="Z458" i="1"/>
  <c r="N458" i="1"/>
  <c r="BM457" i="1"/>
  <c r="AW457" i="1"/>
  <c r="AT457" i="1"/>
  <c r="AS457" i="1"/>
  <c r="AR457" i="1"/>
  <c r="AQ457" i="1"/>
  <c r="AP457" i="1"/>
  <c r="Z457" i="1"/>
  <c r="N457" i="1"/>
  <c r="BM456" i="1"/>
  <c r="AW456" i="1"/>
  <c r="AT456" i="1"/>
  <c r="AS456" i="1"/>
  <c r="AR456" i="1"/>
  <c r="AQ456" i="1"/>
  <c r="AP456" i="1"/>
  <c r="Z456" i="1"/>
  <c r="N456" i="1"/>
  <c r="B456" i="1"/>
  <c r="B457" i="1" s="1"/>
  <c r="BM455" i="1"/>
  <c r="AW455" i="1"/>
  <c r="AT455" i="1"/>
  <c r="AS455" i="1"/>
  <c r="AR455" i="1"/>
  <c r="Z455" i="1"/>
  <c r="N455" i="1"/>
  <c r="AP455" i="1" s="1"/>
  <c r="B455" i="1"/>
  <c r="BM454" i="1"/>
  <c r="AW454" i="1"/>
  <c r="AS454" i="1"/>
  <c r="AT454" i="1" s="1"/>
  <c r="AR454" i="1"/>
  <c r="AQ454" i="1"/>
  <c r="Z454" i="1"/>
  <c r="N454" i="1"/>
  <c r="AP454" i="1" s="1"/>
  <c r="BM453" i="1"/>
  <c r="AW453" i="1"/>
  <c r="AT453" i="1"/>
  <c r="AS453" i="1"/>
  <c r="AR453" i="1"/>
  <c r="AQ453" i="1"/>
  <c r="AP453" i="1"/>
  <c r="Z453" i="1"/>
  <c r="N453" i="1"/>
  <c r="BM452" i="1"/>
  <c r="AW452" i="1"/>
  <c r="AT452" i="1"/>
  <c r="AS452" i="1"/>
  <c r="AR452" i="1"/>
  <c r="AQ452" i="1"/>
  <c r="Z452" i="1"/>
  <c r="N452" i="1"/>
  <c r="AP452" i="1" s="1"/>
  <c r="BM451" i="1"/>
  <c r="AW451" i="1"/>
  <c r="AT451" i="1"/>
  <c r="AS451" i="1"/>
  <c r="AR451" i="1"/>
  <c r="AP451" i="1"/>
  <c r="Z451" i="1"/>
  <c r="N451" i="1"/>
  <c r="BM450" i="1"/>
  <c r="AW450" i="1"/>
  <c r="AS450" i="1"/>
  <c r="AT450" i="1" s="1"/>
  <c r="AR450" i="1"/>
  <c r="AQ450" i="1"/>
  <c r="AP450" i="1"/>
  <c r="Z450" i="1"/>
  <c r="N450" i="1"/>
  <c r="BM449" i="1"/>
  <c r="AW449" i="1"/>
  <c r="AT449" i="1"/>
  <c r="AS449" i="1"/>
  <c r="AR449" i="1"/>
  <c r="AQ449" i="1"/>
  <c r="Z449" i="1"/>
  <c r="N449" i="1"/>
  <c r="AP449" i="1" s="1"/>
  <c r="BM448" i="1"/>
  <c r="AW448" i="1"/>
  <c r="AS448" i="1"/>
  <c r="AT448" i="1" s="1"/>
  <c r="AR448" i="1"/>
  <c r="AQ448" i="1"/>
  <c r="Z448" i="1"/>
  <c r="N448" i="1"/>
  <c r="AP448" i="1" s="1"/>
  <c r="BM447" i="1"/>
  <c r="AW447" i="1"/>
  <c r="AS447" i="1"/>
  <c r="AT447" i="1" s="1"/>
  <c r="AR447" i="1"/>
  <c r="AP447" i="1"/>
  <c r="Z447" i="1"/>
  <c r="N447" i="1"/>
  <c r="BM446" i="1"/>
  <c r="AW446" i="1"/>
  <c r="AT446" i="1"/>
  <c r="AS446" i="1"/>
  <c r="AR446" i="1"/>
  <c r="Z446" i="1"/>
  <c r="N446" i="1"/>
  <c r="AP446" i="1" s="1"/>
  <c r="BM445" i="1"/>
  <c r="AW445" i="1"/>
  <c r="AT445" i="1"/>
  <c r="N445" i="1"/>
  <c r="BM444" i="1"/>
  <c r="AW444" i="1"/>
  <c r="AT444" i="1"/>
  <c r="N444" i="1"/>
  <c r="BM443" i="1"/>
  <c r="AW443" i="1"/>
  <c r="AT443" i="1"/>
  <c r="N443" i="1"/>
  <c r="BM442" i="1"/>
  <c r="AW442" i="1"/>
  <c r="AT442" i="1"/>
  <c r="N442" i="1"/>
  <c r="BM441" i="1"/>
  <c r="AW441" i="1"/>
  <c r="AT441" i="1"/>
  <c r="N441" i="1"/>
  <c r="BM440" i="1"/>
  <c r="AW440" i="1"/>
  <c r="AT440" i="1"/>
  <c r="N440" i="1"/>
  <c r="BM439" i="1"/>
  <c r="AW439" i="1"/>
  <c r="AS439" i="1"/>
  <c r="AT439" i="1" s="1"/>
  <c r="AR439" i="1"/>
  <c r="AQ439" i="1"/>
  <c r="AP439" i="1"/>
  <c r="Z439" i="1"/>
  <c r="N439" i="1"/>
  <c r="B439" i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M438" i="1"/>
  <c r="AW438" i="1"/>
  <c r="AT438" i="1"/>
  <c r="AS438" i="1"/>
  <c r="AR438" i="1"/>
  <c r="AQ438" i="1"/>
  <c r="Z438" i="1"/>
  <c r="N438" i="1"/>
  <c r="AP438" i="1" s="1"/>
  <c r="BM437" i="1"/>
  <c r="AW437" i="1"/>
  <c r="AT437" i="1"/>
  <c r="AS437" i="1"/>
  <c r="AR437" i="1"/>
  <c r="AP437" i="1"/>
  <c r="Z437" i="1"/>
  <c r="N437" i="1"/>
  <c r="BM436" i="1"/>
  <c r="AW436" i="1"/>
  <c r="AS436" i="1"/>
  <c r="AT436" i="1" s="1"/>
  <c r="AR436" i="1"/>
  <c r="AQ436" i="1"/>
  <c r="AP436" i="1"/>
  <c r="Z436" i="1"/>
  <c r="N436" i="1"/>
  <c r="BM435" i="1"/>
  <c r="AW435" i="1"/>
  <c r="AS435" i="1"/>
  <c r="AT435" i="1" s="1"/>
  <c r="AR435" i="1"/>
  <c r="AQ435" i="1"/>
  <c r="Y435" i="1"/>
  <c r="N435" i="1"/>
  <c r="AP435" i="1" s="1"/>
  <c r="BM434" i="1"/>
  <c r="AW434" i="1"/>
  <c r="AS434" i="1"/>
  <c r="AT434" i="1" s="1"/>
  <c r="AR434" i="1"/>
  <c r="AP434" i="1"/>
  <c r="Y434" i="1"/>
  <c r="N434" i="1"/>
  <c r="BM433" i="1"/>
  <c r="AW433" i="1"/>
  <c r="AT433" i="1"/>
  <c r="AS433" i="1"/>
  <c r="AR433" i="1"/>
  <c r="Z433" i="1"/>
  <c r="N433" i="1"/>
  <c r="AP433" i="1" s="1"/>
  <c r="BM432" i="1"/>
  <c r="AW432" i="1"/>
  <c r="AT432" i="1"/>
  <c r="AS432" i="1"/>
  <c r="AR432" i="1"/>
  <c r="AP432" i="1"/>
  <c r="Y432" i="1"/>
  <c r="N432" i="1"/>
  <c r="BM431" i="1"/>
  <c r="AW431" i="1"/>
  <c r="AT431" i="1"/>
  <c r="AS431" i="1"/>
  <c r="AR431" i="1"/>
  <c r="Y431" i="1"/>
  <c r="N431" i="1"/>
  <c r="AP431" i="1" s="1"/>
  <c r="BM430" i="1"/>
  <c r="AW430" i="1"/>
  <c r="AT430" i="1"/>
  <c r="AS430" i="1"/>
  <c r="AR430" i="1"/>
  <c r="AQ430" i="1"/>
  <c r="AP430" i="1"/>
  <c r="Z430" i="1"/>
  <c r="N430" i="1"/>
  <c r="BM429" i="1"/>
  <c r="AW429" i="1"/>
  <c r="AS429" i="1"/>
  <c r="AT429" i="1" s="1"/>
  <c r="AR429" i="1"/>
  <c r="AQ429" i="1"/>
  <c r="Y429" i="1"/>
  <c r="N429" i="1"/>
  <c r="CB428" i="1"/>
  <c r="BM428" i="1"/>
  <c r="BL428" i="1"/>
  <c r="AW428" i="1"/>
  <c r="AS428" i="1"/>
  <c r="AT428" i="1" s="1"/>
  <c r="AR428" i="1"/>
  <c r="AQ428" i="1"/>
  <c r="Z428" i="1"/>
  <c r="N428" i="1"/>
  <c r="BM427" i="1"/>
  <c r="AW427" i="1"/>
  <c r="AT427" i="1"/>
  <c r="AS427" i="1"/>
  <c r="AR427" i="1"/>
  <c r="AQ427" i="1"/>
  <c r="Z427" i="1"/>
  <c r="N427" i="1"/>
  <c r="AP427" i="1" s="1"/>
  <c r="BM426" i="1"/>
  <c r="AW426" i="1"/>
  <c r="AS426" i="1"/>
  <c r="AT426" i="1" s="1"/>
  <c r="AR426" i="1"/>
  <c r="AQ426" i="1"/>
  <c r="AP426" i="1"/>
  <c r="Z426" i="1"/>
  <c r="N426" i="1"/>
  <c r="BM425" i="1"/>
  <c r="AW425" i="1"/>
  <c r="AT425" i="1"/>
  <c r="AS425" i="1"/>
  <c r="AR425" i="1"/>
  <c r="AQ425" i="1"/>
  <c r="AP425" i="1"/>
  <c r="Z425" i="1"/>
  <c r="N425" i="1"/>
  <c r="BM424" i="1"/>
  <c r="AW424" i="1"/>
  <c r="AS424" i="1"/>
  <c r="AT424" i="1" s="1"/>
  <c r="AR424" i="1"/>
  <c r="AQ424" i="1"/>
  <c r="Z424" i="1"/>
  <c r="N424" i="1"/>
  <c r="AP424" i="1" s="1"/>
  <c r="BM423" i="1"/>
  <c r="AW423" i="1"/>
  <c r="AT423" i="1"/>
  <c r="AS423" i="1"/>
  <c r="AR423" i="1"/>
  <c r="AQ423" i="1"/>
  <c r="AP423" i="1"/>
  <c r="Z423" i="1"/>
  <c r="N423" i="1"/>
  <c r="BM422" i="1"/>
  <c r="AW422" i="1"/>
  <c r="AT422" i="1"/>
  <c r="AS422" i="1"/>
  <c r="AR422" i="1"/>
  <c r="AQ422" i="1"/>
  <c r="Z422" i="1"/>
  <c r="N422" i="1"/>
  <c r="AP422" i="1" s="1"/>
  <c r="BM421" i="1"/>
  <c r="AW421" i="1"/>
  <c r="AT421" i="1"/>
  <c r="AS421" i="1"/>
  <c r="AR421" i="1"/>
  <c r="AQ421" i="1"/>
  <c r="AP421" i="1"/>
  <c r="Z421" i="1"/>
  <c r="N421" i="1"/>
  <c r="BM420" i="1"/>
  <c r="AW420" i="1"/>
  <c r="AT420" i="1"/>
  <c r="AS420" i="1"/>
  <c r="AR420" i="1"/>
  <c r="AP420" i="1"/>
  <c r="Z420" i="1"/>
  <c r="N420" i="1"/>
  <c r="BM419" i="1"/>
  <c r="AW419" i="1"/>
  <c r="AS419" i="1"/>
  <c r="AT419" i="1" s="1"/>
  <c r="AR419" i="1"/>
  <c r="AQ419" i="1"/>
  <c r="Z419" i="1"/>
  <c r="N419" i="1"/>
  <c r="AP419" i="1" s="1"/>
  <c r="BM418" i="1"/>
  <c r="AW418" i="1"/>
  <c r="AT418" i="1"/>
  <c r="AS418" i="1"/>
  <c r="AR418" i="1"/>
  <c r="AQ418" i="1"/>
  <c r="AP418" i="1"/>
  <c r="Z418" i="1"/>
  <c r="N418" i="1"/>
  <c r="BM417" i="1"/>
  <c r="AW417" i="1"/>
  <c r="AT417" i="1"/>
  <c r="AS417" i="1"/>
  <c r="AR417" i="1"/>
  <c r="Y417" i="1"/>
  <c r="N417" i="1"/>
  <c r="BM416" i="1"/>
  <c r="AW416" i="1"/>
  <c r="AT416" i="1"/>
  <c r="AQ416" i="1"/>
  <c r="AP416" i="1"/>
  <c r="N416" i="1"/>
  <c r="BM415" i="1"/>
  <c r="AW415" i="1"/>
  <c r="AT415" i="1"/>
  <c r="AQ415" i="1"/>
  <c r="AP415" i="1"/>
  <c r="N415" i="1"/>
  <c r="BM414" i="1"/>
  <c r="AW414" i="1"/>
  <c r="AT414" i="1"/>
  <c r="AS414" i="1"/>
  <c r="AR414" i="1"/>
  <c r="AQ414" i="1"/>
  <c r="Z414" i="1"/>
  <c r="N414" i="1"/>
  <c r="AP414" i="1" s="1"/>
  <c r="BM413" i="1"/>
  <c r="AW413" i="1"/>
  <c r="AS413" i="1"/>
  <c r="AT413" i="1" s="1"/>
  <c r="AR413" i="1"/>
  <c r="AQ413" i="1"/>
  <c r="AP413" i="1"/>
  <c r="Z413" i="1"/>
  <c r="N413" i="1"/>
  <c r="CB412" i="1"/>
  <c r="BM412" i="1" s="1"/>
  <c r="BL412" i="1"/>
  <c r="AW412" i="1" s="1"/>
  <c r="AT412" i="1"/>
  <c r="AS412" i="1"/>
  <c r="AR412" i="1"/>
  <c r="AQ412" i="1"/>
  <c r="Z412" i="1"/>
  <c r="N412" i="1"/>
  <c r="CA411" i="1"/>
  <c r="BM411" i="1" s="1"/>
  <c r="BK411" i="1"/>
  <c r="AW411" i="1" s="1"/>
  <c r="AS411" i="1"/>
  <c r="AT411" i="1" s="1"/>
  <c r="AR411" i="1"/>
  <c r="Z411" i="1"/>
  <c r="N411" i="1"/>
  <c r="AP411" i="1" s="1"/>
  <c r="BM410" i="1"/>
  <c r="AW410" i="1"/>
  <c r="AT410" i="1"/>
  <c r="AS410" i="1"/>
  <c r="AR410" i="1"/>
  <c r="AQ410" i="1"/>
  <c r="AP410" i="1"/>
  <c r="Z410" i="1"/>
  <c r="N410" i="1"/>
  <c r="BM409" i="1"/>
  <c r="AW409" i="1"/>
  <c r="AT409" i="1"/>
  <c r="AS409" i="1"/>
  <c r="AR409" i="1"/>
  <c r="AP409" i="1"/>
  <c r="Y409" i="1"/>
  <c r="N409" i="1"/>
  <c r="BM408" i="1"/>
  <c r="AW408" i="1"/>
  <c r="AT408" i="1"/>
  <c r="AS408" i="1"/>
  <c r="AR408" i="1"/>
  <c r="Z408" i="1"/>
  <c r="N408" i="1"/>
  <c r="AP408" i="1" s="1"/>
  <c r="B408" i="1"/>
  <c r="BM407" i="1"/>
  <c r="AW407" i="1"/>
  <c r="AS407" i="1"/>
  <c r="AT407" i="1" s="1"/>
  <c r="AR407" i="1"/>
  <c r="AP407" i="1"/>
  <c r="Z407" i="1"/>
  <c r="N407" i="1"/>
  <c r="BM406" i="1"/>
  <c r="AW406" i="1"/>
  <c r="AT406" i="1"/>
  <c r="AS406" i="1"/>
  <c r="AR406" i="1"/>
  <c r="AQ406" i="1"/>
  <c r="Z406" i="1"/>
  <c r="N406" i="1"/>
  <c r="AP406" i="1" s="1"/>
  <c r="BM405" i="1"/>
  <c r="AW405" i="1"/>
  <c r="AT405" i="1"/>
  <c r="AS405" i="1"/>
  <c r="AR405" i="1"/>
  <c r="AQ405" i="1"/>
  <c r="AP405" i="1"/>
  <c r="Z405" i="1"/>
  <c r="N405" i="1"/>
  <c r="BM404" i="1"/>
  <c r="AW404" i="1"/>
  <c r="AT404" i="1"/>
  <c r="AS404" i="1"/>
  <c r="AR404" i="1"/>
  <c r="AQ404" i="1"/>
  <c r="Z404" i="1"/>
  <c r="N404" i="1"/>
  <c r="AP404" i="1" s="1"/>
  <c r="BM403" i="1"/>
  <c r="AW403" i="1"/>
  <c r="AT403" i="1"/>
  <c r="AS403" i="1"/>
  <c r="AR403" i="1"/>
  <c r="AQ403" i="1"/>
  <c r="Z403" i="1"/>
  <c r="N403" i="1"/>
  <c r="AP403" i="1" s="1"/>
  <c r="BM402" i="1"/>
  <c r="AW402" i="1"/>
  <c r="AS402" i="1"/>
  <c r="AT402" i="1" s="1"/>
  <c r="AR402" i="1"/>
  <c r="AP402" i="1"/>
  <c r="Z402" i="1"/>
  <c r="N402" i="1"/>
  <c r="B402" i="1"/>
  <c r="B403" i="1" s="1"/>
  <c r="B404" i="1" s="1"/>
  <c r="BM401" i="1"/>
  <c r="AW401" i="1"/>
  <c r="AV401" i="1"/>
  <c r="AU401" i="1"/>
  <c r="AT401" i="1"/>
  <c r="AS401" i="1"/>
  <c r="AR401" i="1"/>
  <c r="AD401" i="1"/>
  <c r="AA401" i="1"/>
  <c r="Y401" i="1"/>
  <c r="N401" i="1"/>
  <c r="AP401" i="1" s="1"/>
  <c r="BM400" i="1"/>
  <c r="AW400" i="1"/>
  <c r="AT400" i="1"/>
  <c r="AS400" i="1"/>
  <c r="AR400" i="1"/>
  <c r="Z400" i="1"/>
  <c r="N400" i="1"/>
  <c r="AP400" i="1" s="1"/>
  <c r="BM399" i="1"/>
  <c r="AW399" i="1"/>
  <c r="AS399" i="1"/>
  <c r="AT399" i="1" s="1"/>
  <c r="AR399" i="1"/>
  <c r="AP399" i="1"/>
  <c r="Z399" i="1"/>
  <c r="N399" i="1"/>
  <c r="BM398" i="1"/>
  <c r="AW398" i="1"/>
  <c r="AT398" i="1"/>
  <c r="AS398" i="1"/>
  <c r="AR398" i="1"/>
  <c r="AQ398" i="1"/>
  <c r="Z398" i="1"/>
  <c r="N398" i="1"/>
  <c r="AP398" i="1" s="1"/>
  <c r="BM397" i="1"/>
  <c r="AW397" i="1"/>
  <c r="AT397" i="1"/>
  <c r="AS397" i="1"/>
  <c r="AR397" i="1"/>
  <c r="AP397" i="1"/>
  <c r="Z397" i="1"/>
  <c r="N397" i="1"/>
  <c r="BM396" i="1"/>
  <c r="AW396" i="1"/>
  <c r="AT396" i="1"/>
  <c r="AS396" i="1"/>
  <c r="AR396" i="1"/>
  <c r="AP396" i="1"/>
  <c r="Z396" i="1"/>
  <c r="N396" i="1"/>
  <c r="BM395" i="1"/>
  <c r="AW395" i="1"/>
  <c r="AT395" i="1"/>
  <c r="AS395" i="1"/>
  <c r="AR395" i="1"/>
  <c r="Z395" i="1"/>
  <c r="N395" i="1"/>
  <c r="AP395" i="1" s="1"/>
  <c r="BM394" i="1"/>
  <c r="AW394" i="1"/>
  <c r="AT394" i="1"/>
  <c r="AR394" i="1"/>
  <c r="AP394" i="1"/>
  <c r="Z394" i="1"/>
  <c r="N394" i="1"/>
  <c r="BM393" i="1"/>
  <c r="AW393" i="1"/>
  <c r="AT393" i="1"/>
  <c r="AS393" i="1"/>
  <c r="AR393" i="1"/>
  <c r="AP393" i="1"/>
  <c r="Z393" i="1"/>
  <c r="N393" i="1"/>
  <c r="BM392" i="1"/>
  <c r="AW392" i="1"/>
  <c r="AT392" i="1"/>
  <c r="AS392" i="1"/>
  <c r="AR392" i="1"/>
  <c r="AQ392" i="1"/>
  <c r="Z392" i="1"/>
  <c r="N392" i="1"/>
  <c r="AP392" i="1" s="1"/>
  <c r="BM391" i="1"/>
  <c r="AW391" i="1"/>
  <c r="AT391" i="1"/>
  <c r="AS391" i="1"/>
  <c r="AR391" i="1"/>
  <c r="AP391" i="1"/>
  <c r="Z391" i="1"/>
  <c r="N391" i="1"/>
  <c r="BM390" i="1"/>
  <c r="AW390" i="1"/>
  <c r="AT390" i="1"/>
  <c r="AS390" i="1"/>
  <c r="AR390" i="1"/>
  <c r="AQ390" i="1"/>
  <c r="Z390" i="1"/>
  <c r="N390" i="1"/>
  <c r="AP390" i="1" s="1"/>
  <c r="BM389" i="1"/>
  <c r="AW389" i="1"/>
  <c r="AT389" i="1"/>
  <c r="AS389" i="1"/>
  <c r="AR389" i="1"/>
  <c r="Z389" i="1"/>
  <c r="N389" i="1"/>
  <c r="AP389" i="1" s="1"/>
  <c r="BM388" i="1"/>
  <c r="AW388" i="1"/>
  <c r="AT388" i="1"/>
  <c r="AS388" i="1"/>
  <c r="AR388" i="1"/>
  <c r="AQ388" i="1"/>
  <c r="AP388" i="1"/>
  <c r="Z388" i="1"/>
  <c r="N388" i="1"/>
  <c r="BM387" i="1"/>
  <c r="AW387" i="1"/>
  <c r="AT387" i="1"/>
  <c r="AS387" i="1"/>
  <c r="AR387" i="1"/>
  <c r="AQ387" i="1"/>
  <c r="AP387" i="1"/>
  <c r="Z387" i="1"/>
  <c r="N387" i="1"/>
  <c r="BM386" i="1"/>
  <c r="AW386" i="1"/>
  <c r="AT386" i="1"/>
  <c r="AS386" i="1"/>
  <c r="AR386" i="1"/>
  <c r="Z386" i="1"/>
  <c r="N386" i="1"/>
  <c r="AP386" i="1" s="1"/>
  <c r="BM385" i="1"/>
  <c r="AW385" i="1"/>
  <c r="AS385" i="1"/>
  <c r="AT385" i="1" s="1"/>
  <c r="AR385" i="1"/>
  <c r="AP385" i="1"/>
  <c r="Z385" i="1"/>
  <c r="N385" i="1"/>
  <c r="BM384" i="1"/>
  <c r="AW384" i="1"/>
  <c r="AT384" i="1"/>
  <c r="AS384" i="1"/>
  <c r="AR384" i="1"/>
  <c r="Z384" i="1"/>
  <c r="N384" i="1"/>
  <c r="AP384" i="1" s="1"/>
  <c r="BM383" i="1"/>
  <c r="AW383" i="1"/>
  <c r="AS383" i="1"/>
  <c r="AT383" i="1" s="1"/>
  <c r="AR383" i="1"/>
  <c r="AQ383" i="1"/>
  <c r="Z383" i="1"/>
  <c r="N383" i="1"/>
  <c r="AP383" i="1" s="1"/>
  <c r="B383" i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A383" i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BM382" i="1"/>
  <c r="AW382" i="1"/>
  <c r="AS382" i="1"/>
  <c r="AT382" i="1" s="1"/>
  <c r="AR382" i="1"/>
  <c r="AQ382" i="1"/>
  <c r="AP382" i="1"/>
  <c r="Z382" i="1"/>
  <c r="N382" i="1"/>
  <c r="A382" i="1"/>
  <c r="BM381" i="1"/>
  <c r="AW381" i="1"/>
  <c r="AS381" i="1"/>
  <c r="AT381" i="1" s="1"/>
  <c r="AR381" i="1"/>
  <c r="AQ381" i="1"/>
  <c r="AP381" i="1"/>
  <c r="Y381" i="1"/>
  <c r="N381" i="1"/>
  <c r="T380" i="1"/>
  <c r="S380" i="1"/>
  <c r="R380" i="1"/>
  <c r="Q380" i="1"/>
  <c r="P380" i="1"/>
  <c r="M380" i="1"/>
  <c r="L380" i="1"/>
  <c r="K380" i="1"/>
  <c r="J380" i="1"/>
  <c r="BM379" i="1"/>
  <c r="AW379" i="1"/>
  <c r="AS379" i="1"/>
  <c r="AT379" i="1" s="1"/>
  <c r="AR379" i="1"/>
  <c r="Z379" i="1"/>
  <c r="U379" i="1"/>
  <c r="N379" i="1"/>
  <c r="AP379" i="1" s="1"/>
  <c r="BM378" i="1"/>
  <c r="AW378" i="1"/>
  <c r="AT378" i="1"/>
  <c r="AS378" i="1"/>
  <c r="AR378" i="1"/>
  <c r="V378" i="1"/>
  <c r="U378" i="1"/>
  <c r="N378" i="1"/>
  <c r="AP378" i="1" s="1"/>
  <c r="BM377" i="1"/>
  <c r="AW377" i="1"/>
  <c r="AS377" i="1"/>
  <c r="AT377" i="1" s="1"/>
  <c r="AR377" i="1"/>
  <c r="AP377" i="1"/>
  <c r="V377" i="1"/>
  <c r="U377" i="1"/>
  <c r="N377" i="1"/>
  <c r="BM376" i="1"/>
  <c r="AW376" i="1"/>
  <c r="AT376" i="1"/>
  <c r="AS376" i="1"/>
  <c r="AR376" i="1"/>
  <c r="Y376" i="1"/>
  <c r="N376" i="1"/>
  <c r="BM375" i="1"/>
  <c r="AW375" i="1"/>
  <c r="AS375" i="1"/>
  <c r="AT375" i="1" s="1"/>
  <c r="AR375" i="1"/>
  <c r="AQ375" i="1"/>
  <c r="AP375" i="1"/>
  <c r="Z375" i="1"/>
  <c r="N375" i="1"/>
  <c r="BM374" i="1"/>
  <c r="AW374" i="1"/>
  <c r="AT374" i="1"/>
  <c r="AS374" i="1"/>
  <c r="AR374" i="1"/>
  <c r="AQ374" i="1"/>
  <c r="AP374" i="1"/>
  <c r="Z374" i="1"/>
  <c r="N374" i="1"/>
  <c r="BM373" i="1"/>
  <c r="AW373" i="1"/>
  <c r="AT373" i="1"/>
  <c r="AS373" i="1"/>
  <c r="AR373" i="1"/>
  <c r="AQ373" i="1"/>
  <c r="AP373" i="1"/>
  <c r="Z373" i="1"/>
  <c r="N373" i="1"/>
  <c r="BM372" i="1"/>
  <c r="AW372" i="1"/>
  <c r="AS372" i="1"/>
  <c r="AT372" i="1" s="1"/>
  <c r="AR372" i="1"/>
  <c r="AQ372" i="1"/>
  <c r="AP372" i="1"/>
  <c r="Z372" i="1"/>
  <c r="N372" i="1"/>
  <c r="BM371" i="1"/>
  <c r="AW371" i="1"/>
  <c r="AT371" i="1"/>
  <c r="AS371" i="1"/>
  <c r="AR371" i="1"/>
  <c r="AQ371" i="1"/>
  <c r="Z371" i="1"/>
  <c r="N371" i="1"/>
  <c r="AP371" i="1" s="1"/>
  <c r="BM370" i="1"/>
  <c r="AW370" i="1"/>
  <c r="AT370" i="1"/>
  <c r="AS370" i="1"/>
  <c r="AR370" i="1"/>
  <c r="AP370" i="1"/>
  <c r="Z370" i="1"/>
  <c r="N370" i="1"/>
  <c r="BM369" i="1"/>
  <c r="AW369" i="1"/>
  <c r="AT369" i="1"/>
  <c r="AS369" i="1"/>
  <c r="AR369" i="1"/>
  <c r="AP369" i="1"/>
  <c r="Y369" i="1"/>
  <c r="N369" i="1"/>
  <c r="BM368" i="1"/>
  <c r="AW368" i="1"/>
  <c r="AT368" i="1"/>
  <c r="AS368" i="1"/>
  <c r="AR368" i="1"/>
  <c r="Z368" i="1"/>
  <c r="N368" i="1"/>
  <c r="AP368" i="1" s="1"/>
  <c r="BM367" i="1"/>
  <c r="AW367" i="1"/>
  <c r="AT367" i="1"/>
  <c r="AS367" i="1"/>
  <c r="AR367" i="1"/>
  <c r="AQ367" i="1"/>
  <c r="AP367" i="1"/>
  <c r="Z367" i="1"/>
  <c r="N367" i="1"/>
  <c r="BM366" i="1"/>
  <c r="AW366" i="1"/>
  <c r="AT366" i="1"/>
  <c r="AS366" i="1"/>
  <c r="AR366" i="1"/>
  <c r="Z366" i="1"/>
  <c r="N366" i="1"/>
  <c r="AP366" i="1" s="1"/>
  <c r="BM365" i="1"/>
  <c r="AW365" i="1"/>
  <c r="AT365" i="1"/>
  <c r="AS365" i="1"/>
  <c r="AR365" i="1"/>
  <c r="Y365" i="1"/>
  <c r="N365" i="1"/>
  <c r="BM364" i="1"/>
  <c r="AW364" i="1"/>
  <c r="AS364" i="1"/>
  <c r="AT364" i="1" s="1"/>
  <c r="AR364" i="1"/>
  <c r="AQ364" i="1"/>
  <c r="AP364" i="1"/>
  <c r="Y364" i="1"/>
  <c r="N364" i="1"/>
  <c r="BM363" i="1"/>
  <c r="AW363" i="1"/>
  <c r="AT363" i="1"/>
  <c r="AS363" i="1"/>
  <c r="AR363" i="1"/>
  <c r="AP363" i="1"/>
  <c r="Y363" i="1"/>
  <c r="N363" i="1"/>
  <c r="BM362" i="1"/>
  <c r="AW362" i="1"/>
  <c r="AT362" i="1"/>
  <c r="AS362" i="1"/>
  <c r="AR362" i="1"/>
  <c r="Y362" i="1"/>
  <c r="N362" i="1"/>
  <c r="BM361" i="1"/>
  <c r="AW361" i="1"/>
  <c r="AS361" i="1"/>
  <c r="AT361" i="1" s="1"/>
  <c r="AR361" i="1"/>
  <c r="Y361" i="1"/>
  <c r="N361" i="1"/>
  <c r="AP361" i="1" s="1"/>
  <c r="BM360" i="1"/>
  <c r="AW360" i="1"/>
  <c r="AT360" i="1"/>
  <c r="AS360" i="1"/>
  <c r="AR360" i="1"/>
  <c r="Y360" i="1"/>
  <c r="P360" i="1"/>
  <c r="BM359" i="1"/>
  <c r="AW359" i="1"/>
  <c r="AT359" i="1"/>
  <c r="AS359" i="1"/>
  <c r="AR359" i="1"/>
  <c r="Y359" i="1"/>
  <c r="N359" i="1"/>
  <c r="AP359" i="1" s="1"/>
  <c r="BM358" i="1"/>
  <c r="AW358" i="1"/>
  <c r="AT358" i="1"/>
  <c r="AS358" i="1"/>
  <c r="AR358" i="1"/>
  <c r="Y358" i="1"/>
  <c r="N358" i="1"/>
  <c r="AP358" i="1" s="1"/>
  <c r="BM357" i="1"/>
  <c r="AW357" i="1"/>
  <c r="AT357" i="1"/>
  <c r="AS357" i="1"/>
  <c r="AR357" i="1"/>
  <c r="Z357" i="1"/>
  <c r="N357" i="1"/>
  <c r="AP357" i="1" s="1"/>
  <c r="BM356" i="1"/>
  <c r="AW356" i="1"/>
  <c r="AS356" i="1"/>
  <c r="AT356" i="1" s="1"/>
  <c r="AR356" i="1"/>
  <c r="AP356" i="1"/>
  <c r="Z356" i="1"/>
  <c r="N356" i="1"/>
  <c r="BM355" i="1"/>
  <c r="AW355" i="1"/>
  <c r="AT355" i="1"/>
  <c r="AS355" i="1"/>
  <c r="AR355" i="1"/>
  <c r="AQ355" i="1"/>
  <c r="AP355" i="1"/>
  <c r="Z355" i="1"/>
  <c r="N355" i="1"/>
  <c r="BM354" i="1"/>
  <c r="AW354" i="1"/>
  <c r="AT354" i="1"/>
  <c r="AS354" i="1"/>
  <c r="AR354" i="1"/>
  <c r="Z354" i="1"/>
  <c r="N354" i="1"/>
  <c r="AP354" i="1" s="1"/>
  <c r="BM353" i="1"/>
  <c r="AW353" i="1"/>
  <c r="AS353" i="1"/>
  <c r="AT353" i="1" s="1"/>
  <c r="AR353" i="1"/>
  <c r="AQ353" i="1"/>
  <c r="Z353" i="1"/>
  <c r="N353" i="1"/>
  <c r="AP353" i="1" s="1"/>
  <c r="BM352" i="1"/>
  <c r="AW352" i="1"/>
  <c r="AS352" i="1"/>
  <c r="AT352" i="1" s="1"/>
  <c r="AR352" i="1"/>
  <c r="AQ352" i="1"/>
  <c r="Z352" i="1"/>
  <c r="N352" i="1"/>
  <c r="AP352" i="1" s="1"/>
  <c r="BM351" i="1"/>
  <c r="AW351" i="1"/>
  <c r="AS351" i="1"/>
  <c r="AT351" i="1" s="1"/>
  <c r="AR351" i="1"/>
  <c r="AP351" i="1"/>
  <c r="Z351" i="1"/>
  <c r="N351" i="1"/>
  <c r="BM350" i="1"/>
  <c r="AW350" i="1"/>
  <c r="AT350" i="1"/>
  <c r="AS350" i="1"/>
  <c r="AR350" i="1"/>
  <c r="AQ350" i="1"/>
  <c r="AP350" i="1"/>
  <c r="Z350" i="1"/>
  <c r="N350" i="1"/>
  <c r="BM349" i="1"/>
  <c r="AW349" i="1"/>
  <c r="AT349" i="1"/>
  <c r="AS349" i="1"/>
  <c r="AR349" i="1"/>
  <c r="Z349" i="1"/>
  <c r="N349" i="1"/>
  <c r="AP349" i="1" s="1"/>
  <c r="BM348" i="1"/>
  <c r="AW348" i="1"/>
  <c r="AS348" i="1"/>
  <c r="AT348" i="1" s="1"/>
  <c r="AR348" i="1"/>
  <c r="AQ348" i="1"/>
  <c r="Z348" i="1"/>
  <c r="N348" i="1"/>
  <c r="AP348" i="1" s="1"/>
  <c r="BM347" i="1"/>
  <c r="AW347" i="1"/>
  <c r="AS347" i="1"/>
  <c r="AT347" i="1" s="1"/>
  <c r="AR347" i="1"/>
  <c r="AP347" i="1"/>
  <c r="Z347" i="1"/>
  <c r="N347" i="1"/>
  <c r="BM346" i="1"/>
  <c r="AW346" i="1"/>
  <c r="AT346" i="1"/>
  <c r="AS346" i="1"/>
  <c r="AR346" i="1"/>
  <c r="Z346" i="1"/>
  <c r="N346" i="1"/>
  <c r="AP346" i="1" s="1"/>
  <c r="BM345" i="1"/>
  <c r="AW345" i="1"/>
  <c r="AS345" i="1"/>
  <c r="AT345" i="1" s="1"/>
  <c r="AR345" i="1"/>
  <c r="AP345" i="1"/>
  <c r="Z345" i="1"/>
  <c r="N345" i="1"/>
  <c r="BM344" i="1"/>
  <c r="AW344" i="1"/>
  <c r="AT344" i="1"/>
  <c r="AS344" i="1"/>
  <c r="AR344" i="1"/>
  <c r="Z344" i="1"/>
  <c r="N344" i="1"/>
  <c r="AP344" i="1" s="1"/>
  <c r="BM343" i="1"/>
  <c r="AW343" i="1"/>
  <c r="AS343" i="1"/>
  <c r="AT343" i="1" s="1"/>
  <c r="AR343" i="1"/>
  <c r="AP343" i="1"/>
  <c r="Z343" i="1"/>
  <c r="N343" i="1"/>
  <c r="BM342" i="1"/>
  <c r="AW342" i="1"/>
  <c r="AT342" i="1"/>
  <c r="AS342" i="1"/>
  <c r="AR342" i="1"/>
  <c r="Z342" i="1"/>
  <c r="N342" i="1"/>
  <c r="AP342" i="1" s="1"/>
  <c r="BM341" i="1"/>
  <c r="AW341" i="1"/>
  <c r="AS341" i="1"/>
  <c r="AT341" i="1" s="1"/>
  <c r="AR341" i="1"/>
  <c r="AQ341" i="1"/>
  <c r="Z341" i="1"/>
  <c r="N341" i="1"/>
  <c r="AP341" i="1" s="1"/>
  <c r="BM340" i="1"/>
  <c r="AW340" i="1"/>
  <c r="AS340" i="1"/>
  <c r="AT340" i="1" s="1"/>
  <c r="AR340" i="1"/>
  <c r="AP340" i="1"/>
  <c r="N340" i="1"/>
  <c r="BM339" i="1"/>
  <c r="AW339" i="1"/>
  <c r="AT339" i="1"/>
  <c r="AS339" i="1"/>
  <c r="AR339" i="1"/>
  <c r="Z339" i="1"/>
  <c r="N339" i="1"/>
  <c r="AP339" i="1" s="1"/>
  <c r="BM338" i="1"/>
  <c r="AW338" i="1"/>
  <c r="AS338" i="1"/>
  <c r="AT338" i="1" s="1"/>
  <c r="AR338" i="1"/>
  <c r="AP338" i="1"/>
  <c r="Z338" i="1"/>
  <c r="N338" i="1"/>
  <c r="BM337" i="1"/>
  <c r="AW337" i="1"/>
  <c r="AT337" i="1"/>
  <c r="AS337" i="1"/>
  <c r="AR337" i="1"/>
  <c r="AP337" i="1"/>
  <c r="Y337" i="1"/>
  <c r="N337" i="1"/>
  <c r="BM336" i="1"/>
  <c r="AW336" i="1"/>
  <c r="AT336" i="1"/>
  <c r="AS336" i="1"/>
  <c r="AR336" i="1"/>
  <c r="Z336" i="1"/>
  <c r="N336" i="1"/>
  <c r="AP336" i="1" s="1"/>
  <c r="BM335" i="1"/>
  <c r="AW335" i="1"/>
  <c r="AS335" i="1"/>
  <c r="AT335" i="1" s="1"/>
  <c r="AR335" i="1"/>
  <c r="AP335" i="1"/>
  <c r="Z335" i="1"/>
  <c r="N335" i="1"/>
  <c r="BM334" i="1"/>
  <c r="AW334" i="1"/>
  <c r="AT334" i="1"/>
  <c r="AS334" i="1"/>
  <c r="AR334" i="1"/>
  <c r="AQ334" i="1"/>
  <c r="Z334" i="1"/>
  <c r="P334" i="1"/>
  <c r="N334" i="1"/>
  <c r="AP334" i="1" s="1"/>
  <c r="BM333" i="1"/>
  <c r="AW333" i="1"/>
  <c r="AS333" i="1"/>
  <c r="AT333" i="1" s="1"/>
  <c r="AR333" i="1"/>
  <c r="AQ333" i="1"/>
  <c r="Z333" i="1"/>
  <c r="P333" i="1"/>
  <c r="BM332" i="1"/>
  <c r="AW332" i="1"/>
  <c r="AT332" i="1"/>
  <c r="AS332" i="1"/>
  <c r="AR332" i="1"/>
  <c r="Z332" i="1"/>
  <c r="N332" i="1"/>
  <c r="AP332" i="1" s="1"/>
  <c r="BM331" i="1"/>
  <c r="AW331" i="1"/>
  <c r="AS331" i="1"/>
  <c r="AT331" i="1" s="1"/>
  <c r="AR331" i="1"/>
  <c r="AP331" i="1"/>
  <c r="Z331" i="1"/>
  <c r="N331" i="1"/>
  <c r="BM330" i="1"/>
  <c r="AW330" i="1"/>
  <c r="AT330" i="1"/>
  <c r="AS330" i="1"/>
  <c r="AR330" i="1"/>
  <c r="AQ330" i="1"/>
  <c r="AP330" i="1"/>
  <c r="Z330" i="1"/>
  <c r="N330" i="1"/>
  <c r="BM329" i="1"/>
  <c r="AW329" i="1"/>
  <c r="AT329" i="1"/>
  <c r="AS329" i="1"/>
  <c r="AR329" i="1"/>
  <c r="AQ329" i="1"/>
  <c r="AP329" i="1"/>
  <c r="Z329" i="1"/>
  <c r="N329" i="1"/>
  <c r="BM328" i="1"/>
  <c r="AW328" i="1"/>
  <c r="AT328" i="1"/>
  <c r="AS328" i="1"/>
  <c r="AR328" i="1"/>
  <c r="Z328" i="1"/>
  <c r="N328" i="1"/>
  <c r="AP328" i="1" s="1"/>
  <c r="BM327" i="1"/>
  <c r="AW327" i="1"/>
  <c r="AS327" i="1"/>
  <c r="AT327" i="1" s="1"/>
  <c r="AR327" i="1"/>
  <c r="AP327" i="1"/>
  <c r="Z327" i="1"/>
  <c r="N327" i="1"/>
  <c r="BM326" i="1"/>
  <c r="AW326" i="1"/>
  <c r="AT326" i="1"/>
  <c r="AS326" i="1"/>
  <c r="AR326" i="1"/>
  <c r="Z326" i="1"/>
  <c r="N326" i="1"/>
  <c r="AP326" i="1" s="1"/>
  <c r="BM325" i="1"/>
  <c r="AW325" i="1"/>
  <c r="AT325" i="1"/>
  <c r="N325" i="1"/>
  <c r="BM324" i="1"/>
  <c r="AW324" i="1"/>
  <c r="AT324" i="1"/>
  <c r="N324" i="1"/>
  <c r="BM323" i="1"/>
  <c r="AW323" i="1"/>
  <c r="AT323" i="1"/>
  <c r="N323" i="1"/>
  <c r="BM322" i="1"/>
  <c r="AW322" i="1"/>
  <c r="AS322" i="1"/>
  <c r="AT322" i="1" s="1"/>
  <c r="AR322" i="1"/>
  <c r="AQ322" i="1"/>
  <c r="Z322" i="1"/>
  <c r="N322" i="1"/>
  <c r="AP322" i="1" s="1"/>
  <c r="BM321" i="1"/>
  <c r="AW321" i="1"/>
  <c r="AS321" i="1"/>
  <c r="AT321" i="1" s="1"/>
  <c r="AR321" i="1"/>
  <c r="AP321" i="1"/>
  <c r="Z321" i="1"/>
  <c r="N321" i="1"/>
  <c r="BM320" i="1"/>
  <c r="AW320" i="1"/>
  <c r="AT320" i="1"/>
  <c r="AS320" i="1"/>
  <c r="AR320" i="1"/>
  <c r="AQ320" i="1"/>
  <c r="AP320" i="1"/>
  <c r="Z320" i="1"/>
  <c r="N320" i="1"/>
  <c r="BM319" i="1"/>
  <c r="AW319" i="1"/>
  <c r="AT319" i="1"/>
  <c r="AS319" i="1"/>
  <c r="AR319" i="1"/>
  <c r="AQ319" i="1"/>
  <c r="AP319" i="1"/>
  <c r="Z319" i="1"/>
  <c r="N319" i="1"/>
  <c r="BM318" i="1"/>
  <c r="AW318" i="1"/>
  <c r="AT318" i="1"/>
  <c r="AS318" i="1"/>
  <c r="AR318" i="1"/>
  <c r="Z318" i="1"/>
  <c r="N318" i="1"/>
  <c r="AP318" i="1" s="1"/>
  <c r="BM317" i="1"/>
  <c r="AW317" i="1"/>
  <c r="AS317" i="1"/>
  <c r="AT317" i="1" s="1"/>
  <c r="AR317" i="1"/>
  <c r="AQ317" i="1"/>
  <c r="Z317" i="1"/>
  <c r="N317" i="1"/>
  <c r="AP317" i="1" s="1"/>
  <c r="BM316" i="1"/>
  <c r="AW316" i="1"/>
  <c r="AS316" i="1"/>
  <c r="AT316" i="1" s="1"/>
  <c r="AR316" i="1"/>
  <c r="Y316" i="1"/>
  <c r="N316" i="1"/>
  <c r="AP316" i="1" s="1"/>
  <c r="CB315" i="1"/>
  <c r="BM315" i="1"/>
  <c r="BL315" i="1"/>
  <c r="AW315" i="1"/>
  <c r="AS315" i="1"/>
  <c r="AT315" i="1" s="1"/>
  <c r="AR315" i="1"/>
  <c r="AP315" i="1"/>
  <c r="Z315" i="1"/>
  <c r="N315" i="1"/>
  <c r="CB314" i="1"/>
  <c r="BM314" i="1" s="1"/>
  <c r="BL314" i="1"/>
  <c r="AW314" i="1" s="1"/>
  <c r="AT314" i="1"/>
  <c r="AS314" i="1"/>
  <c r="AR314" i="1"/>
  <c r="AQ314" i="1"/>
  <c r="Y314" i="1"/>
  <c r="N314" i="1"/>
  <c r="AP314" i="1" s="1"/>
  <c r="BM313" i="1"/>
  <c r="AW313" i="1"/>
  <c r="AS313" i="1"/>
  <c r="AT313" i="1" s="1"/>
  <c r="AR313" i="1"/>
  <c r="Y313" i="1"/>
  <c r="N313" i="1"/>
  <c r="BM312" i="1"/>
  <c r="AW312" i="1"/>
  <c r="AS312" i="1"/>
  <c r="AT312" i="1" s="1"/>
  <c r="AR312" i="1"/>
  <c r="AP312" i="1"/>
  <c r="Y312" i="1"/>
  <c r="N312" i="1"/>
  <c r="BM311" i="1"/>
  <c r="AW311" i="1"/>
  <c r="AS311" i="1"/>
  <c r="AT311" i="1" s="1"/>
  <c r="AR311" i="1"/>
  <c r="Y311" i="1"/>
  <c r="N311" i="1"/>
  <c r="AP311" i="1" s="1"/>
  <c r="BM310" i="1"/>
  <c r="AW310" i="1"/>
  <c r="AS310" i="1"/>
  <c r="AT310" i="1" s="1"/>
  <c r="AR310" i="1"/>
  <c r="AP310" i="1"/>
  <c r="Z310" i="1"/>
  <c r="N310" i="1"/>
  <c r="BM309" i="1"/>
  <c r="AW309" i="1"/>
  <c r="AT309" i="1"/>
  <c r="AS309" i="1"/>
  <c r="AR309" i="1"/>
  <c r="Z309" i="1"/>
  <c r="N309" i="1"/>
  <c r="AP309" i="1" s="1"/>
  <c r="BM308" i="1"/>
  <c r="AW308" i="1"/>
  <c r="AS308" i="1"/>
  <c r="AT308" i="1" s="1"/>
  <c r="AR308" i="1"/>
  <c r="Y308" i="1"/>
  <c r="N308" i="1"/>
  <c r="AP308" i="1" s="1"/>
  <c r="BM307" i="1"/>
  <c r="AW307" i="1"/>
  <c r="AS307" i="1"/>
  <c r="AT307" i="1" s="1"/>
  <c r="AR307" i="1"/>
  <c r="AP307" i="1"/>
  <c r="Z307" i="1"/>
  <c r="P307" i="1"/>
  <c r="N307" i="1"/>
  <c r="BM306" i="1"/>
  <c r="AW306" i="1"/>
  <c r="AS306" i="1"/>
  <c r="AT306" i="1" s="1"/>
  <c r="AR306" i="1"/>
  <c r="AP306" i="1"/>
  <c r="Y306" i="1"/>
  <c r="N306" i="1"/>
  <c r="BM305" i="1"/>
  <c r="AW305" i="1"/>
  <c r="AS305" i="1"/>
  <c r="AT305" i="1" s="1"/>
  <c r="AR305" i="1"/>
  <c r="Y305" i="1"/>
  <c r="N305" i="1"/>
  <c r="AP305" i="1" s="1"/>
  <c r="BM304" i="1"/>
  <c r="AW304" i="1"/>
  <c r="AS304" i="1"/>
  <c r="AT304" i="1" s="1"/>
  <c r="AR304" i="1"/>
  <c r="AQ304" i="1"/>
  <c r="Z304" i="1"/>
  <c r="N304" i="1"/>
  <c r="AP304" i="1" s="1"/>
  <c r="BM303" i="1"/>
  <c r="AW303" i="1"/>
  <c r="AS303" i="1"/>
  <c r="AT303" i="1" s="1"/>
  <c r="AR303" i="1"/>
  <c r="AP303" i="1"/>
  <c r="Z303" i="1"/>
  <c r="N303" i="1"/>
  <c r="BM302" i="1"/>
  <c r="AW302" i="1"/>
  <c r="AT302" i="1"/>
  <c r="AS302" i="1"/>
  <c r="AR302" i="1"/>
  <c r="Z302" i="1"/>
  <c r="N302" i="1"/>
  <c r="AP302" i="1" s="1"/>
  <c r="BM301" i="1"/>
  <c r="N301" i="1"/>
  <c r="BM300" i="1"/>
  <c r="AW300" i="1"/>
  <c r="AS300" i="1"/>
  <c r="AT300" i="1" s="1"/>
  <c r="AR300" i="1"/>
  <c r="AP300" i="1"/>
  <c r="Z300" i="1"/>
  <c r="N300" i="1"/>
  <c r="BM299" i="1"/>
  <c r="AW299" i="1"/>
  <c r="AT299" i="1"/>
  <c r="AS299" i="1"/>
  <c r="AR299" i="1"/>
  <c r="Z299" i="1"/>
  <c r="N299" i="1"/>
  <c r="AP299" i="1" s="1"/>
  <c r="BM298" i="1"/>
  <c r="AW298" i="1"/>
  <c r="AS298" i="1"/>
  <c r="AT298" i="1" s="1"/>
  <c r="AR298" i="1"/>
  <c r="AP298" i="1"/>
  <c r="Y298" i="1"/>
  <c r="N298" i="1"/>
  <c r="CB297" i="1"/>
  <c r="BM297" i="1"/>
  <c r="BL297" i="1"/>
  <c r="AW297" i="1"/>
  <c r="AS297" i="1"/>
  <c r="AT297" i="1" s="1"/>
  <c r="AR297" i="1"/>
  <c r="AQ297" i="1"/>
  <c r="Z297" i="1"/>
  <c r="P297" i="1"/>
  <c r="BM296" i="1"/>
  <c r="AW296" i="1"/>
  <c r="AT296" i="1"/>
  <c r="AS296" i="1"/>
  <c r="AR296" i="1"/>
  <c r="AQ296" i="1"/>
  <c r="AP296" i="1"/>
  <c r="Z296" i="1"/>
  <c r="N296" i="1"/>
  <c r="BM295" i="1"/>
  <c r="AW295" i="1"/>
  <c r="AT295" i="1"/>
  <c r="AS295" i="1"/>
  <c r="AR295" i="1"/>
  <c r="AQ295" i="1"/>
  <c r="AP295" i="1"/>
  <c r="Z295" i="1"/>
  <c r="N295" i="1"/>
  <c r="BM294" i="1"/>
  <c r="AW294" i="1"/>
  <c r="AT294" i="1"/>
  <c r="AS294" i="1"/>
  <c r="AR294" i="1"/>
  <c r="AQ294" i="1"/>
  <c r="AP294" i="1"/>
  <c r="Z294" i="1"/>
  <c r="N294" i="1"/>
  <c r="BM293" i="1"/>
  <c r="AW293" i="1"/>
  <c r="AT293" i="1"/>
  <c r="AS293" i="1"/>
  <c r="AR293" i="1"/>
  <c r="Z293" i="1"/>
  <c r="N293" i="1"/>
  <c r="AP293" i="1" s="1"/>
  <c r="BM292" i="1"/>
  <c r="AW292" i="1"/>
  <c r="AS292" i="1"/>
  <c r="AT292" i="1" s="1"/>
  <c r="AR292" i="1"/>
  <c r="AQ292" i="1"/>
  <c r="Z292" i="1"/>
  <c r="N292" i="1"/>
  <c r="AP292" i="1" s="1"/>
  <c r="BM291" i="1"/>
  <c r="AW291" i="1"/>
  <c r="AS291" i="1"/>
  <c r="AT291" i="1" s="1"/>
  <c r="AR291" i="1"/>
  <c r="AQ291" i="1"/>
  <c r="Z291" i="1"/>
  <c r="N291" i="1"/>
  <c r="AP291" i="1" s="1"/>
  <c r="BM290" i="1"/>
  <c r="AW290" i="1"/>
  <c r="AS290" i="1"/>
  <c r="AT290" i="1" s="1"/>
  <c r="AR290" i="1"/>
  <c r="AQ290" i="1"/>
  <c r="Z290" i="1"/>
  <c r="N290" i="1"/>
  <c r="AP290" i="1" s="1"/>
  <c r="BM289" i="1"/>
  <c r="AW289" i="1"/>
  <c r="AS289" i="1"/>
  <c r="AT289" i="1" s="1"/>
  <c r="AR289" i="1"/>
  <c r="AP289" i="1"/>
  <c r="Z289" i="1"/>
  <c r="N289" i="1"/>
  <c r="BM288" i="1"/>
  <c r="AW288" i="1"/>
  <c r="AT288" i="1"/>
  <c r="AS288" i="1"/>
  <c r="AR288" i="1"/>
  <c r="Z288" i="1"/>
  <c r="N288" i="1"/>
  <c r="AP288" i="1" s="1"/>
  <c r="BM287" i="1"/>
  <c r="AW287" i="1"/>
  <c r="AS287" i="1"/>
  <c r="AT287" i="1" s="1"/>
  <c r="AR287" i="1"/>
  <c r="AP287" i="1"/>
  <c r="Z287" i="1"/>
  <c r="N287" i="1"/>
  <c r="BM286" i="1"/>
  <c r="AW286" i="1"/>
  <c r="AT286" i="1"/>
  <c r="AS286" i="1"/>
  <c r="AR286" i="1"/>
  <c r="AQ286" i="1"/>
  <c r="AP286" i="1"/>
  <c r="Z286" i="1"/>
  <c r="P286" i="1"/>
  <c r="N286" i="1"/>
  <c r="BM285" i="1"/>
  <c r="AW285" i="1"/>
  <c r="AS285" i="1"/>
  <c r="AT285" i="1" s="1"/>
  <c r="AR285" i="1"/>
  <c r="AQ285" i="1"/>
  <c r="Z285" i="1"/>
  <c r="N285" i="1"/>
  <c r="AP285" i="1" s="1"/>
  <c r="BM284" i="1"/>
  <c r="AW284" i="1"/>
  <c r="AS284" i="1"/>
  <c r="AT284" i="1" s="1"/>
  <c r="AR284" i="1"/>
  <c r="Y284" i="1"/>
  <c r="N284" i="1"/>
  <c r="AP284" i="1" s="1"/>
  <c r="BM283" i="1"/>
  <c r="AW283" i="1"/>
  <c r="AS283" i="1"/>
  <c r="AT283" i="1" s="1"/>
  <c r="AR283" i="1"/>
  <c r="AP283" i="1"/>
  <c r="Z283" i="1"/>
  <c r="N283" i="1"/>
  <c r="BM282" i="1"/>
  <c r="AW282" i="1"/>
  <c r="AT282" i="1"/>
  <c r="AS282" i="1"/>
  <c r="AR282" i="1"/>
  <c r="Y282" i="1"/>
  <c r="N282" i="1"/>
  <c r="AP282" i="1" s="1"/>
  <c r="BM281" i="1"/>
  <c r="AW281" i="1"/>
  <c r="AT281" i="1"/>
  <c r="AS281" i="1"/>
  <c r="AR281" i="1"/>
  <c r="AQ281" i="1"/>
  <c r="AP281" i="1"/>
  <c r="Z281" i="1"/>
  <c r="N281" i="1"/>
  <c r="BM280" i="1"/>
  <c r="AW280" i="1"/>
  <c r="AT280" i="1"/>
  <c r="AS280" i="1"/>
  <c r="AR280" i="1"/>
  <c r="AQ280" i="1"/>
  <c r="AP280" i="1"/>
  <c r="Z280" i="1"/>
  <c r="N280" i="1"/>
  <c r="BM279" i="1"/>
  <c r="AW279" i="1"/>
  <c r="AT279" i="1"/>
  <c r="AS279" i="1"/>
  <c r="AR279" i="1"/>
  <c r="AQ279" i="1"/>
  <c r="AP279" i="1"/>
  <c r="Z279" i="1"/>
  <c r="N279" i="1"/>
  <c r="BM278" i="1"/>
  <c r="AW278" i="1"/>
  <c r="AT278" i="1"/>
  <c r="AS278" i="1"/>
  <c r="AR278" i="1"/>
  <c r="AQ278" i="1"/>
  <c r="AP278" i="1"/>
  <c r="Z278" i="1"/>
  <c r="N278" i="1"/>
  <c r="BM277" i="1"/>
  <c r="AW277" i="1"/>
  <c r="AT277" i="1"/>
  <c r="AS277" i="1"/>
  <c r="AR277" i="1"/>
  <c r="AQ277" i="1"/>
  <c r="AP277" i="1"/>
  <c r="Z277" i="1"/>
  <c r="N277" i="1"/>
  <c r="BM276" i="1"/>
  <c r="AW276" i="1"/>
  <c r="AT276" i="1"/>
  <c r="AS276" i="1"/>
  <c r="AR276" i="1"/>
  <c r="Z276" i="1"/>
  <c r="N276" i="1"/>
  <c r="AP276" i="1" s="1"/>
  <c r="BM275" i="1"/>
  <c r="AW275" i="1"/>
  <c r="AV275" i="1"/>
  <c r="AS275" i="1"/>
  <c r="AT275" i="1" s="1"/>
  <c r="AR275" i="1"/>
  <c r="AP275" i="1"/>
  <c r="Y275" i="1"/>
  <c r="N275" i="1"/>
  <c r="BM274" i="1"/>
  <c r="AW274" i="1"/>
  <c r="AS274" i="1"/>
  <c r="AT274" i="1" s="1"/>
  <c r="AR274" i="1"/>
  <c r="AP274" i="1"/>
  <c r="Z274" i="1"/>
  <c r="N274" i="1"/>
  <c r="BM273" i="1"/>
  <c r="AW273" i="1"/>
  <c r="AT273" i="1"/>
  <c r="AQ273" i="1"/>
  <c r="AP273" i="1"/>
  <c r="P273" i="1"/>
  <c r="N273" i="1"/>
  <c r="BM272" i="1"/>
  <c r="AW272" i="1"/>
  <c r="AT272" i="1"/>
  <c r="AQ272" i="1"/>
  <c r="N272" i="1"/>
  <c r="AP272" i="1" s="1"/>
  <c r="BM271" i="1"/>
  <c r="AW271" i="1"/>
  <c r="AS271" i="1"/>
  <c r="AT271" i="1" s="1"/>
  <c r="AR271" i="1"/>
  <c r="AP271" i="1"/>
  <c r="Z271" i="1"/>
  <c r="N271" i="1"/>
  <c r="BM270" i="1"/>
  <c r="AW270" i="1"/>
  <c r="AT270" i="1"/>
  <c r="AS270" i="1"/>
  <c r="AR270" i="1"/>
  <c r="AQ270" i="1"/>
  <c r="AP270" i="1"/>
  <c r="Z270" i="1"/>
  <c r="N270" i="1"/>
  <c r="BM269" i="1"/>
  <c r="AW269" i="1"/>
  <c r="AT269" i="1"/>
  <c r="AS269" i="1"/>
  <c r="AR269" i="1"/>
  <c r="Z269" i="1"/>
  <c r="N269" i="1"/>
  <c r="AP269" i="1" s="1"/>
  <c r="CA268" i="1"/>
  <c r="BM268" i="1"/>
  <c r="BK268" i="1"/>
  <c r="AW268" i="1"/>
  <c r="AS268" i="1"/>
  <c r="AT268" i="1" s="1"/>
  <c r="AR268" i="1"/>
  <c r="AP268" i="1"/>
  <c r="Z268" i="1"/>
  <c r="N268" i="1"/>
  <c r="BM267" i="1"/>
  <c r="AW267" i="1"/>
  <c r="AT267" i="1"/>
  <c r="AS267" i="1"/>
  <c r="AR267" i="1"/>
  <c r="AQ267" i="1"/>
  <c r="AP267" i="1"/>
  <c r="Z267" i="1"/>
  <c r="N267" i="1"/>
  <c r="BM266" i="1"/>
  <c r="AW266" i="1"/>
  <c r="AT266" i="1"/>
  <c r="AS266" i="1"/>
  <c r="AR266" i="1"/>
  <c r="AQ266" i="1"/>
  <c r="AP266" i="1"/>
  <c r="Z266" i="1"/>
  <c r="N266" i="1"/>
  <c r="CB265" i="1"/>
  <c r="BM265" i="1" s="1"/>
  <c r="BL265" i="1"/>
  <c r="AW265" i="1" s="1"/>
  <c r="AT265" i="1"/>
  <c r="AS265" i="1"/>
  <c r="AR265" i="1"/>
  <c r="AQ265" i="1"/>
  <c r="Z265" i="1"/>
  <c r="N265" i="1"/>
  <c r="BM264" i="1"/>
  <c r="AW264" i="1"/>
  <c r="AS264" i="1"/>
  <c r="AT264" i="1" s="1"/>
  <c r="AR264" i="1"/>
  <c r="AQ264" i="1"/>
  <c r="Z264" i="1"/>
  <c r="N264" i="1"/>
  <c r="AP264" i="1" s="1"/>
  <c r="BM263" i="1"/>
  <c r="AW263" i="1"/>
  <c r="AS263" i="1"/>
  <c r="AT263" i="1" s="1"/>
  <c r="AR263" i="1"/>
  <c r="AP263" i="1"/>
  <c r="Z263" i="1"/>
  <c r="N263" i="1"/>
  <c r="CA262" i="1"/>
  <c r="BM262" i="1" s="1"/>
  <c r="BK262" i="1"/>
  <c r="AW262" i="1" s="1"/>
  <c r="AT262" i="1"/>
  <c r="AS262" i="1"/>
  <c r="AR262" i="1"/>
  <c r="Z262" i="1"/>
  <c r="N262" i="1"/>
  <c r="AP262" i="1" s="1"/>
  <c r="BM261" i="1"/>
  <c r="AW261" i="1"/>
  <c r="AS261" i="1"/>
  <c r="AT261" i="1" s="1"/>
  <c r="AR261" i="1"/>
  <c r="AP261" i="1"/>
  <c r="Z261" i="1"/>
  <c r="N261" i="1"/>
  <c r="BM260" i="1"/>
  <c r="AW260" i="1"/>
  <c r="AT260" i="1"/>
  <c r="AS260" i="1"/>
  <c r="AR260" i="1"/>
  <c r="AQ260" i="1"/>
  <c r="Z260" i="1"/>
  <c r="N260" i="1"/>
  <c r="BM259" i="1"/>
  <c r="AW259" i="1"/>
  <c r="AS259" i="1"/>
  <c r="AT259" i="1" s="1"/>
  <c r="AR259" i="1"/>
  <c r="AP259" i="1"/>
  <c r="Z259" i="1"/>
  <c r="P259" i="1"/>
  <c r="N259" i="1"/>
  <c r="BM258" i="1"/>
  <c r="AW258" i="1"/>
  <c r="AS258" i="1"/>
  <c r="AT258" i="1" s="1"/>
  <c r="AR258" i="1"/>
  <c r="Y258" i="1"/>
  <c r="N258" i="1"/>
  <c r="AP258" i="1" s="1"/>
  <c r="BM257" i="1"/>
  <c r="AW257" i="1"/>
  <c r="AS257" i="1"/>
  <c r="AT257" i="1" s="1"/>
  <c r="AR257" i="1"/>
  <c r="Y257" i="1"/>
  <c r="N257" i="1"/>
  <c r="AP257" i="1" s="1"/>
  <c r="BM256" i="1"/>
  <c r="AW256" i="1"/>
  <c r="AS256" i="1"/>
  <c r="AT256" i="1" s="1"/>
  <c r="AR256" i="1"/>
  <c r="AP256" i="1"/>
  <c r="Z256" i="1"/>
  <c r="P256" i="1"/>
  <c r="N256" i="1"/>
  <c r="BM255" i="1"/>
  <c r="AW255" i="1"/>
  <c r="AS255" i="1"/>
  <c r="AT255" i="1" s="1"/>
  <c r="AR255" i="1"/>
  <c r="AP255" i="1"/>
  <c r="Z255" i="1"/>
  <c r="N255" i="1"/>
  <c r="BM254" i="1"/>
  <c r="AW254" i="1"/>
  <c r="AT254" i="1"/>
  <c r="AS254" i="1"/>
  <c r="AR254" i="1"/>
  <c r="Y254" i="1"/>
  <c r="N254" i="1"/>
  <c r="AP254" i="1" s="1"/>
  <c r="BM253" i="1"/>
  <c r="AW253" i="1"/>
  <c r="AT253" i="1"/>
  <c r="AS253" i="1"/>
  <c r="AR253" i="1"/>
  <c r="AQ253" i="1"/>
  <c r="AP253" i="1"/>
  <c r="Z253" i="1"/>
  <c r="N253" i="1"/>
  <c r="CA252" i="1"/>
  <c r="BM252" i="1" s="1"/>
  <c r="BK252" i="1"/>
  <c r="AW252" i="1" s="1"/>
  <c r="AT252" i="1"/>
  <c r="AS252" i="1"/>
  <c r="AR252" i="1"/>
  <c r="Z252" i="1"/>
  <c r="P252" i="1"/>
  <c r="BM251" i="1"/>
  <c r="AW251" i="1"/>
  <c r="AT251" i="1"/>
  <c r="AS251" i="1"/>
  <c r="AR251" i="1"/>
  <c r="AQ251" i="1"/>
  <c r="AP251" i="1"/>
  <c r="Z251" i="1"/>
  <c r="N251" i="1"/>
  <c r="BM250" i="1"/>
  <c r="AW250" i="1"/>
  <c r="AT250" i="1"/>
  <c r="AS250" i="1"/>
  <c r="AR250" i="1"/>
  <c r="AQ250" i="1"/>
  <c r="Z250" i="1"/>
  <c r="N250" i="1"/>
  <c r="AP250" i="1" s="1"/>
  <c r="BM249" i="1"/>
  <c r="AW249" i="1"/>
  <c r="AS249" i="1"/>
  <c r="AT249" i="1" s="1"/>
  <c r="AR249" i="1"/>
  <c r="AQ249" i="1"/>
  <c r="Z249" i="1"/>
  <c r="N249" i="1"/>
  <c r="AP249" i="1" s="1"/>
  <c r="BM248" i="1"/>
  <c r="AW248" i="1"/>
  <c r="AS248" i="1"/>
  <c r="AT248" i="1" s="1"/>
  <c r="AR248" i="1"/>
  <c r="AP248" i="1"/>
  <c r="Z248" i="1"/>
  <c r="N248" i="1"/>
  <c r="BM247" i="1"/>
  <c r="AW247" i="1"/>
  <c r="AT247" i="1"/>
  <c r="AS247" i="1"/>
  <c r="AR247" i="1"/>
  <c r="Z247" i="1"/>
  <c r="N247" i="1"/>
  <c r="AP247" i="1" s="1"/>
  <c r="BM246" i="1"/>
  <c r="AW246" i="1"/>
  <c r="AS246" i="1"/>
  <c r="AT246" i="1" s="1"/>
  <c r="AR246" i="1"/>
  <c r="AQ246" i="1"/>
  <c r="Z246" i="1"/>
  <c r="N246" i="1"/>
  <c r="AP246" i="1" s="1"/>
  <c r="BM245" i="1"/>
  <c r="AW245" i="1"/>
  <c r="AS245" i="1"/>
  <c r="AT245" i="1" s="1"/>
  <c r="AR245" i="1"/>
  <c r="AQ245" i="1"/>
  <c r="Z245" i="1"/>
  <c r="N245" i="1"/>
  <c r="AP245" i="1" s="1"/>
  <c r="BM244" i="1"/>
  <c r="AW244" i="1"/>
  <c r="AS244" i="1"/>
  <c r="AT244" i="1" s="1"/>
  <c r="AR244" i="1"/>
  <c r="AQ244" i="1"/>
  <c r="Z244" i="1"/>
  <c r="P244" i="1"/>
  <c r="BM243" i="1"/>
  <c r="AW243" i="1"/>
  <c r="AT243" i="1"/>
  <c r="AS243" i="1"/>
  <c r="AR243" i="1"/>
  <c r="N243" i="1"/>
  <c r="AP243" i="1" s="1"/>
  <c r="CA242" i="1"/>
  <c r="BM242" i="1"/>
  <c r="BK242" i="1"/>
  <c r="AW242" i="1"/>
  <c r="AS242" i="1"/>
  <c r="AT242" i="1" s="1"/>
  <c r="AR242" i="1"/>
  <c r="AP242" i="1"/>
  <c r="Z242" i="1"/>
  <c r="N242" i="1"/>
  <c r="BM241" i="1"/>
  <c r="AW241" i="1"/>
  <c r="AT241" i="1"/>
  <c r="AS241" i="1"/>
  <c r="AR241" i="1"/>
  <c r="Z241" i="1"/>
  <c r="N241" i="1"/>
  <c r="AP241" i="1" s="1"/>
  <c r="BM240" i="1"/>
  <c r="AW240" i="1"/>
  <c r="AS240" i="1"/>
  <c r="AT240" i="1" s="1"/>
  <c r="AR240" i="1"/>
  <c r="Y240" i="1"/>
  <c r="N240" i="1"/>
  <c r="AP240" i="1" s="1"/>
  <c r="BM239" i="1"/>
  <c r="AW239" i="1"/>
  <c r="AS239" i="1"/>
  <c r="AT239" i="1" s="1"/>
  <c r="AR239" i="1"/>
  <c r="Y239" i="1"/>
  <c r="N239" i="1"/>
  <c r="AP239" i="1" s="1"/>
  <c r="BM238" i="1"/>
  <c r="AW238" i="1"/>
  <c r="AS238" i="1"/>
  <c r="AT238" i="1" s="1"/>
  <c r="AR238" i="1"/>
  <c r="AQ238" i="1"/>
  <c r="Z238" i="1"/>
  <c r="N238" i="1"/>
  <c r="AP238" i="1" s="1"/>
  <c r="BM237" i="1"/>
  <c r="AW237" i="1"/>
  <c r="AS237" i="1"/>
  <c r="AT237" i="1" s="1"/>
  <c r="AR237" i="1"/>
  <c r="AP237" i="1"/>
  <c r="Z237" i="1"/>
  <c r="N237" i="1"/>
  <c r="BM236" i="1"/>
  <c r="AW236" i="1"/>
  <c r="AT236" i="1"/>
  <c r="AS236" i="1"/>
  <c r="AR236" i="1"/>
  <c r="Z236" i="1"/>
  <c r="N236" i="1"/>
  <c r="AP236" i="1" s="1"/>
  <c r="BM235" i="1"/>
  <c r="AW235" i="1"/>
  <c r="AS235" i="1"/>
  <c r="AT235" i="1" s="1"/>
  <c r="AR235" i="1"/>
  <c r="AP235" i="1"/>
  <c r="Z235" i="1"/>
  <c r="N235" i="1"/>
  <c r="CA234" i="1"/>
  <c r="BM234" i="1" s="1"/>
  <c r="BK234" i="1"/>
  <c r="AW234" i="1" s="1"/>
  <c r="AT234" i="1"/>
  <c r="AS234" i="1"/>
  <c r="AR234" i="1"/>
  <c r="Z234" i="1"/>
  <c r="N234" i="1"/>
  <c r="AP234" i="1" s="1"/>
  <c r="BM233" i="1"/>
  <c r="AW233" i="1"/>
  <c r="AS233" i="1"/>
  <c r="AT233" i="1" s="1"/>
  <c r="AR233" i="1"/>
  <c r="AQ233" i="1"/>
  <c r="Z233" i="1"/>
  <c r="N233" i="1"/>
  <c r="AP233" i="1" s="1"/>
  <c r="BM232" i="1"/>
  <c r="AW232" i="1"/>
  <c r="AS232" i="1"/>
  <c r="AT232" i="1" s="1"/>
  <c r="AR232" i="1"/>
  <c r="AP232" i="1"/>
  <c r="Z232" i="1"/>
  <c r="N232" i="1"/>
  <c r="BM231" i="1"/>
  <c r="AW231" i="1"/>
  <c r="AT231" i="1"/>
  <c r="AS231" i="1"/>
  <c r="AR231" i="1"/>
  <c r="Z231" i="1"/>
  <c r="N231" i="1"/>
  <c r="AP231" i="1" s="1"/>
  <c r="BM230" i="1"/>
  <c r="AW230" i="1"/>
  <c r="AS230" i="1"/>
  <c r="AT230" i="1" s="1"/>
  <c r="AR230" i="1"/>
  <c r="AP230" i="1"/>
  <c r="Z230" i="1"/>
  <c r="N230" i="1"/>
  <c r="BM229" i="1"/>
  <c r="AW229" i="1"/>
  <c r="AT229" i="1"/>
  <c r="AS229" i="1"/>
  <c r="AR229" i="1"/>
  <c r="Z229" i="1"/>
  <c r="N229" i="1"/>
  <c r="AP229" i="1" s="1"/>
  <c r="BM228" i="1"/>
  <c r="AW228" i="1"/>
  <c r="AS228" i="1"/>
  <c r="AT228" i="1" s="1"/>
  <c r="AR228" i="1"/>
  <c r="AP228" i="1"/>
  <c r="Z228" i="1"/>
  <c r="N228" i="1"/>
  <c r="BM227" i="1"/>
  <c r="AW227" i="1"/>
  <c r="AT227" i="1"/>
  <c r="AS227" i="1"/>
  <c r="AR227" i="1"/>
  <c r="Z227" i="1"/>
  <c r="N227" i="1"/>
  <c r="AP227" i="1" s="1"/>
  <c r="BM226" i="1"/>
  <c r="AW226" i="1"/>
  <c r="AS226" i="1"/>
  <c r="AT226" i="1" s="1"/>
  <c r="AR226" i="1"/>
  <c r="AP226" i="1"/>
  <c r="Z226" i="1"/>
  <c r="N226" i="1"/>
  <c r="BM225" i="1"/>
  <c r="AW225" i="1"/>
  <c r="AT225" i="1"/>
  <c r="AS225" i="1"/>
  <c r="AR225" i="1"/>
  <c r="Z225" i="1"/>
  <c r="N225" i="1"/>
  <c r="AP225" i="1" s="1"/>
  <c r="BM224" i="1"/>
  <c r="AW224" i="1"/>
  <c r="AS224" i="1"/>
  <c r="AT224" i="1" s="1"/>
  <c r="AR224" i="1"/>
  <c r="AP224" i="1"/>
  <c r="Z224" i="1"/>
  <c r="N224" i="1"/>
  <c r="BM223" i="1"/>
  <c r="AW223" i="1"/>
  <c r="AT223" i="1"/>
  <c r="AS223" i="1"/>
  <c r="AR223" i="1"/>
  <c r="Z223" i="1"/>
  <c r="N223" i="1"/>
  <c r="AP223" i="1" s="1"/>
  <c r="BM222" i="1"/>
  <c r="AW222" i="1"/>
  <c r="AS222" i="1"/>
  <c r="AT222" i="1" s="1"/>
  <c r="AR222" i="1"/>
  <c r="AQ222" i="1"/>
  <c r="Z222" i="1"/>
  <c r="N222" i="1"/>
  <c r="AP222" i="1" s="1"/>
  <c r="BM221" i="1"/>
  <c r="AW221" i="1"/>
  <c r="AS221" i="1"/>
  <c r="AT221" i="1" s="1"/>
  <c r="AR221" i="1"/>
  <c r="AQ221" i="1"/>
  <c r="Z221" i="1"/>
  <c r="N221" i="1"/>
  <c r="AP221" i="1" s="1"/>
  <c r="BM220" i="1"/>
  <c r="AW220" i="1"/>
  <c r="AT220" i="1"/>
  <c r="AR220" i="1"/>
  <c r="Z220" i="1"/>
  <c r="N220" i="1"/>
  <c r="AP220" i="1" s="1"/>
  <c r="BM219" i="1"/>
  <c r="AW219" i="1"/>
  <c r="AS219" i="1"/>
  <c r="AT219" i="1" s="1"/>
  <c r="AR219" i="1"/>
  <c r="Z219" i="1"/>
  <c r="N219" i="1"/>
  <c r="AP219" i="1" s="1"/>
  <c r="B219" i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M218" i="1"/>
  <c r="AW218" i="1"/>
  <c r="AT218" i="1"/>
  <c r="AS218" i="1"/>
  <c r="AR218" i="1"/>
  <c r="Z218" i="1"/>
  <c r="N218" i="1"/>
  <c r="AP218" i="1" s="1"/>
  <c r="B218" i="1"/>
  <c r="BM217" i="1"/>
  <c r="AW217" i="1"/>
  <c r="AS217" i="1"/>
  <c r="AT217" i="1" s="1"/>
  <c r="AR217" i="1"/>
  <c r="AP217" i="1"/>
  <c r="Z217" i="1"/>
  <c r="N217" i="1"/>
  <c r="BM216" i="1"/>
  <c r="AW216" i="1"/>
  <c r="AS216" i="1"/>
  <c r="AT216" i="1" s="1"/>
  <c r="AR216" i="1"/>
  <c r="AQ216" i="1"/>
  <c r="Z216" i="1"/>
  <c r="N216" i="1"/>
  <c r="AP216" i="1" s="1"/>
  <c r="BM215" i="1"/>
  <c r="AW215" i="1"/>
  <c r="AT215" i="1"/>
  <c r="AS215" i="1"/>
  <c r="AR215" i="1"/>
  <c r="Z215" i="1"/>
  <c r="N215" i="1"/>
  <c r="AP215" i="1" s="1"/>
  <c r="CB214" i="1"/>
  <c r="BM214" i="1" s="1"/>
  <c r="BL214" i="1"/>
  <c r="AW214" i="1" s="1"/>
  <c r="AT214" i="1"/>
  <c r="AS214" i="1"/>
  <c r="AR214" i="1"/>
  <c r="Z214" i="1"/>
  <c r="N214" i="1"/>
  <c r="AP214" i="1" s="1"/>
  <c r="BM213" i="1"/>
  <c r="AW213" i="1"/>
  <c r="AT213" i="1"/>
  <c r="AS213" i="1"/>
  <c r="AR213" i="1"/>
  <c r="AQ213" i="1"/>
  <c r="AP213" i="1"/>
  <c r="Y213" i="1"/>
  <c r="N213" i="1"/>
  <c r="BM212" i="1"/>
  <c r="AW212" i="1"/>
  <c r="AT212" i="1"/>
  <c r="AS212" i="1"/>
  <c r="AR212" i="1"/>
  <c r="AQ212" i="1"/>
  <c r="AP212" i="1"/>
  <c r="Y212" i="1"/>
  <c r="N212" i="1"/>
  <c r="BM211" i="1"/>
  <c r="AW211" i="1"/>
  <c r="AT211" i="1"/>
  <c r="AS211" i="1"/>
  <c r="AR211" i="1"/>
  <c r="AQ211" i="1"/>
  <c r="Y211" i="1"/>
  <c r="N211" i="1"/>
  <c r="AP211" i="1" s="1"/>
  <c r="A211" i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BM210" i="1"/>
  <c r="AW210" i="1"/>
  <c r="AT210" i="1"/>
  <c r="AS210" i="1"/>
  <c r="AR210" i="1"/>
  <c r="Z210" i="1"/>
  <c r="N210" i="1"/>
  <c r="AP210" i="1" s="1"/>
  <c r="BM209" i="1"/>
  <c r="AW209" i="1"/>
  <c r="AS209" i="1"/>
  <c r="AT209" i="1" s="1"/>
  <c r="AR209" i="1"/>
  <c r="AQ209" i="1"/>
  <c r="Z209" i="1"/>
  <c r="N209" i="1"/>
  <c r="AP209" i="1" s="1"/>
  <c r="BM208" i="1"/>
  <c r="AW208" i="1"/>
  <c r="AS208" i="1"/>
  <c r="AT208" i="1" s="1"/>
  <c r="AR208" i="1"/>
  <c r="AQ208" i="1"/>
  <c r="Z208" i="1"/>
  <c r="N208" i="1"/>
  <c r="AP208" i="1" s="1"/>
  <c r="CB207" i="1"/>
  <c r="BZ207" i="1"/>
  <c r="BY207" i="1"/>
  <c r="BX207" i="1"/>
  <c r="BW207" i="1"/>
  <c r="BV207" i="1"/>
  <c r="BU207" i="1"/>
  <c r="BT207" i="1"/>
  <c r="BS207" i="1"/>
  <c r="BR207" i="1"/>
  <c r="BQ207" i="1"/>
  <c r="BP207" i="1"/>
  <c r="BO207" i="1"/>
  <c r="BN207" i="1"/>
  <c r="BL207" i="1"/>
  <c r="BK207" i="1"/>
  <c r="BJ207" i="1"/>
  <c r="BI207" i="1"/>
  <c r="BH207" i="1"/>
  <c r="BG207" i="1"/>
  <c r="BF207" i="1"/>
  <c r="BE207" i="1"/>
  <c r="BD207" i="1"/>
  <c r="BC207" i="1"/>
  <c r="BB207" i="1"/>
  <c r="BA207" i="1"/>
  <c r="AZ207" i="1"/>
  <c r="AY207" i="1"/>
  <c r="AX207" i="1"/>
  <c r="AW207" i="1" s="1"/>
  <c r="T207" i="1"/>
  <c r="S207" i="1"/>
  <c r="S206" i="1" s="1"/>
  <c r="R207" i="1"/>
  <c r="Q207" i="1"/>
  <c r="P207" i="1"/>
  <c r="M207" i="1"/>
  <c r="M206" i="1" s="1"/>
  <c r="L207" i="1"/>
  <c r="K207" i="1"/>
  <c r="K206" i="1" s="1"/>
  <c r="J207" i="1"/>
  <c r="T206" i="1"/>
  <c r="R206" i="1"/>
  <c r="Q206" i="1"/>
  <c r="P206" i="1"/>
  <c r="P13" i="1" s="1"/>
  <c r="O206" i="1"/>
  <c r="L206" i="1"/>
  <c r="J206" i="1"/>
  <c r="BM205" i="1"/>
  <c r="AW205" i="1"/>
  <c r="AT205" i="1"/>
  <c r="AP205" i="1"/>
  <c r="BM204" i="1"/>
  <c r="AW204" i="1"/>
  <c r="AT204" i="1"/>
  <c r="AP204" i="1"/>
  <c r="BM203" i="1"/>
  <c r="AW203" i="1"/>
  <c r="AS203" i="1"/>
  <c r="AT203" i="1" s="1"/>
  <c r="AR203" i="1"/>
  <c r="Z203" i="1"/>
  <c r="BM202" i="1"/>
  <c r="AW202" i="1"/>
  <c r="AT202" i="1"/>
  <c r="AS202" i="1"/>
  <c r="AR202" i="1"/>
  <c r="AP202" i="1"/>
  <c r="Z202" i="1"/>
  <c r="BM201" i="1"/>
  <c r="AW201" i="1"/>
  <c r="AT201" i="1"/>
  <c r="AS201" i="1"/>
  <c r="AR201" i="1"/>
  <c r="AP201" i="1"/>
  <c r="Z201" i="1"/>
  <c r="BM200" i="1"/>
  <c r="AW200" i="1"/>
  <c r="AT200" i="1"/>
  <c r="AS200" i="1"/>
  <c r="AR200" i="1"/>
  <c r="AP200" i="1"/>
  <c r="Z200" i="1"/>
  <c r="BM199" i="1"/>
  <c r="AW199" i="1"/>
  <c r="AT199" i="1"/>
  <c r="AS199" i="1"/>
  <c r="AR199" i="1"/>
  <c r="AQ199" i="1"/>
  <c r="AP199" i="1"/>
  <c r="Z199" i="1"/>
  <c r="BM198" i="1"/>
  <c r="AW198" i="1"/>
  <c r="AS198" i="1"/>
  <c r="AT198" i="1" s="1"/>
  <c r="AR198" i="1"/>
  <c r="AP198" i="1"/>
  <c r="Z198" i="1"/>
  <c r="BM197" i="1"/>
  <c r="AW197" i="1"/>
  <c r="AS197" i="1"/>
  <c r="AT197" i="1" s="1"/>
  <c r="AR197" i="1"/>
  <c r="AQ197" i="1"/>
  <c r="AP197" i="1"/>
  <c r="Z197" i="1"/>
  <c r="BM196" i="1"/>
  <c r="AW196" i="1"/>
  <c r="AT196" i="1"/>
  <c r="AS196" i="1"/>
  <c r="AR196" i="1"/>
  <c r="AQ196" i="1"/>
  <c r="AP196" i="1"/>
  <c r="Z196" i="1"/>
  <c r="BM195" i="1"/>
  <c r="AW195" i="1"/>
  <c r="AS195" i="1"/>
  <c r="AT195" i="1" s="1"/>
  <c r="AR195" i="1"/>
  <c r="AP195" i="1"/>
  <c r="Z195" i="1"/>
  <c r="BM194" i="1"/>
  <c r="AW194" i="1"/>
  <c r="AS194" i="1"/>
  <c r="AT194" i="1" s="1"/>
  <c r="AR194" i="1"/>
  <c r="AQ194" i="1"/>
  <c r="AP194" i="1"/>
  <c r="Z194" i="1"/>
  <c r="BM193" i="1"/>
  <c r="AW193" i="1"/>
  <c r="AT193" i="1"/>
  <c r="AS193" i="1"/>
  <c r="AR193" i="1"/>
  <c r="AQ193" i="1"/>
  <c r="AP193" i="1"/>
  <c r="Z193" i="1"/>
  <c r="BM192" i="1"/>
  <c r="AW192" i="1"/>
  <c r="AS192" i="1"/>
  <c r="AT192" i="1" s="1"/>
  <c r="AR192" i="1"/>
  <c r="AP192" i="1"/>
  <c r="Z192" i="1"/>
  <c r="BM191" i="1"/>
  <c r="AW191" i="1"/>
  <c r="AS191" i="1"/>
  <c r="AT191" i="1" s="1"/>
  <c r="AR191" i="1"/>
  <c r="AP191" i="1"/>
  <c r="Z191" i="1"/>
  <c r="BM190" i="1"/>
  <c r="AW190" i="1"/>
  <c r="AS190" i="1"/>
  <c r="AT190" i="1" s="1"/>
  <c r="AR190" i="1"/>
  <c r="AP190" i="1"/>
  <c r="Z190" i="1"/>
  <c r="BM189" i="1"/>
  <c r="AW189" i="1"/>
  <c r="AR189" i="1"/>
  <c r="AP189" i="1"/>
  <c r="Z189" i="1"/>
  <c r="BM188" i="1"/>
  <c r="AW188" i="1"/>
  <c r="AR188" i="1"/>
  <c r="AP188" i="1"/>
  <c r="Z188" i="1"/>
  <c r="BM187" i="1"/>
  <c r="AW187" i="1"/>
  <c r="AR187" i="1"/>
  <c r="Y187" i="1"/>
  <c r="BM186" i="1"/>
  <c r="AW186" i="1"/>
  <c r="AR186" i="1"/>
  <c r="Y186" i="1"/>
  <c r="BM185" i="1"/>
  <c r="AW185" i="1"/>
  <c r="AR185" i="1"/>
  <c r="Y185" i="1"/>
  <c r="BM184" i="1"/>
  <c r="AW184" i="1"/>
  <c r="AR184" i="1"/>
  <c r="Y184" i="1"/>
  <c r="BM183" i="1"/>
  <c r="AW183" i="1"/>
  <c r="AR183" i="1"/>
  <c r="AP183" i="1"/>
  <c r="Z183" i="1"/>
  <c r="BM182" i="1"/>
  <c r="AW182" i="1"/>
  <c r="AR182" i="1"/>
  <c r="Y182" i="1"/>
  <c r="BM181" i="1"/>
  <c r="AW181" i="1"/>
  <c r="AR181" i="1"/>
  <c r="Y181" i="1"/>
  <c r="BM180" i="1"/>
  <c r="AW180" i="1"/>
  <c r="AR180" i="1"/>
  <c r="AP180" i="1"/>
  <c r="Z180" i="1"/>
  <c r="BM179" i="1"/>
  <c r="AW179" i="1"/>
  <c r="AS179" i="1"/>
  <c r="AT179" i="1" s="1"/>
  <c r="AR179" i="1"/>
  <c r="AP179" i="1"/>
  <c r="Z179" i="1"/>
  <c r="BM178" i="1"/>
  <c r="AW178" i="1"/>
  <c r="AS178" i="1"/>
  <c r="AT178" i="1" s="1"/>
  <c r="AR178" i="1"/>
  <c r="AP178" i="1"/>
  <c r="Z178" i="1"/>
  <c r="BM177" i="1"/>
  <c r="AW177" i="1"/>
  <c r="AS177" i="1"/>
  <c r="AT177" i="1" s="1"/>
  <c r="AR177" i="1"/>
  <c r="AQ177" i="1"/>
  <c r="AP177" i="1"/>
  <c r="Z177" i="1"/>
  <c r="BM176" i="1"/>
  <c r="AW176" i="1"/>
  <c r="AT176" i="1"/>
  <c r="AS176" i="1"/>
  <c r="AR176" i="1"/>
  <c r="AP176" i="1"/>
  <c r="Z176" i="1"/>
  <c r="BM175" i="1"/>
  <c r="AW175" i="1"/>
  <c r="AT175" i="1"/>
  <c r="AS175" i="1"/>
  <c r="AR175" i="1"/>
  <c r="AP175" i="1"/>
  <c r="Z175" i="1"/>
  <c r="BM174" i="1"/>
  <c r="AW174" i="1"/>
  <c r="AT174" i="1"/>
  <c r="AS174" i="1"/>
  <c r="AR174" i="1"/>
  <c r="AQ174" i="1"/>
  <c r="AP174" i="1"/>
  <c r="Z174" i="1"/>
  <c r="BM173" i="1"/>
  <c r="AW173" i="1"/>
  <c r="AS173" i="1"/>
  <c r="AT173" i="1" s="1"/>
  <c r="AR173" i="1"/>
  <c r="AQ173" i="1"/>
  <c r="AP173" i="1"/>
  <c r="Z173" i="1"/>
  <c r="BM172" i="1"/>
  <c r="AW172" i="1"/>
  <c r="AT172" i="1"/>
  <c r="AS172" i="1"/>
  <c r="AR172" i="1"/>
  <c r="AP172" i="1"/>
  <c r="Z172" i="1"/>
  <c r="BM171" i="1"/>
  <c r="AW171" i="1"/>
  <c r="AT171" i="1"/>
  <c r="AS171" i="1"/>
  <c r="AR171" i="1"/>
  <c r="AP171" i="1"/>
  <c r="Z171" i="1"/>
  <c r="BM170" i="1"/>
  <c r="AW170" i="1"/>
  <c r="AT170" i="1"/>
  <c r="AS170" i="1"/>
  <c r="AR170" i="1"/>
  <c r="AP170" i="1"/>
  <c r="Z170" i="1"/>
  <c r="BM169" i="1"/>
  <c r="AW169" i="1"/>
  <c r="AT169" i="1"/>
  <c r="AS169" i="1"/>
  <c r="AR169" i="1"/>
  <c r="AP169" i="1"/>
  <c r="Z169" i="1"/>
  <c r="BM168" i="1"/>
  <c r="AW168" i="1"/>
  <c r="AT168" i="1"/>
  <c r="AS168" i="1"/>
  <c r="AR168" i="1"/>
  <c r="AP168" i="1"/>
  <c r="Z168" i="1"/>
  <c r="BM167" i="1"/>
  <c r="AW167" i="1"/>
  <c r="AT167" i="1"/>
  <c r="AS167" i="1"/>
  <c r="AR167" i="1"/>
  <c r="AQ167" i="1"/>
  <c r="AP167" i="1"/>
  <c r="Z167" i="1"/>
  <c r="BM166" i="1"/>
  <c r="AW166" i="1"/>
  <c r="AS166" i="1"/>
  <c r="AT166" i="1" s="1"/>
  <c r="AR166" i="1"/>
  <c r="AP166" i="1"/>
  <c r="Z166" i="1"/>
  <c r="BX165" i="1"/>
  <c r="BM165" i="1"/>
  <c r="BH165" i="1"/>
  <c r="AW165" i="1"/>
  <c r="AS165" i="1"/>
  <c r="AT165" i="1" s="1"/>
  <c r="AR165" i="1"/>
  <c r="AQ165" i="1"/>
  <c r="AP165" i="1"/>
  <c r="Z165" i="1"/>
  <c r="BM164" i="1"/>
  <c r="AW164" i="1"/>
  <c r="AT164" i="1"/>
  <c r="AS164" i="1"/>
  <c r="AR164" i="1"/>
  <c r="AQ164" i="1"/>
  <c r="AP164" i="1"/>
  <c r="Z164" i="1"/>
  <c r="BM163" i="1"/>
  <c r="AW163" i="1"/>
  <c r="AT163" i="1"/>
  <c r="AR163" i="1"/>
  <c r="AP163" i="1"/>
  <c r="Z163" i="1"/>
  <c r="BM162" i="1"/>
  <c r="AW162" i="1"/>
  <c r="AT162" i="1"/>
  <c r="AS162" i="1"/>
  <c r="AR162" i="1"/>
  <c r="AP162" i="1"/>
  <c r="Z162" i="1"/>
  <c r="BM161" i="1"/>
  <c r="AW161" i="1"/>
  <c r="AT161" i="1"/>
  <c r="AS161" i="1"/>
  <c r="AR161" i="1"/>
  <c r="AP161" i="1"/>
  <c r="Z161" i="1"/>
  <c r="BM160" i="1"/>
  <c r="AW160" i="1"/>
  <c r="AT160" i="1"/>
  <c r="AS160" i="1"/>
  <c r="AR160" i="1"/>
  <c r="AP160" i="1"/>
  <c r="Z160" i="1"/>
  <c r="BM159" i="1"/>
  <c r="AW159" i="1"/>
  <c r="AT159" i="1"/>
  <c r="AS159" i="1"/>
  <c r="AR159" i="1"/>
  <c r="AP159" i="1"/>
  <c r="Z159" i="1"/>
  <c r="BM158" i="1"/>
  <c r="AW158" i="1"/>
  <c r="AT158" i="1"/>
  <c r="AS158" i="1"/>
  <c r="AR158" i="1"/>
  <c r="AP158" i="1"/>
  <c r="Z158" i="1"/>
  <c r="BM157" i="1"/>
  <c r="AW157" i="1"/>
  <c r="AT157" i="1"/>
  <c r="AS157" i="1"/>
  <c r="AR157" i="1"/>
  <c r="AP157" i="1"/>
  <c r="Y157" i="1"/>
  <c r="BM156" i="1"/>
  <c r="AW156" i="1"/>
  <c r="AS156" i="1"/>
  <c r="AT156" i="1" s="1"/>
  <c r="AR156" i="1"/>
  <c r="AP156" i="1"/>
  <c r="Y156" i="1"/>
  <c r="BM155" i="1"/>
  <c r="AW155" i="1"/>
  <c r="AT155" i="1"/>
  <c r="AS155" i="1"/>
  <c r="AR155" i="1"/>
  <c r="AP155" i="1"/>
  <c r="Y155" i="1"/>
  <c r="BM154" i="1"/>
  <c r="AW154" i="1"/>
  <c r="AS154" i="1"/>
  <c r="AT154" i="1" s="1"/>
  <c r="AR154" i="1"/>
  <c r="AP154" i="1"/>
  <c r="Z154" i="1"/>
  <c r="BM153" i="1"/>
  <c r="AW153" i="1"/>
  <c r="AS153" i="1"/>
  <c r="AT153" i="1" s="1"/>
  <c r="AR153" i="1"/>
  <c r="AQ153" i="1"/>
  <c r="AP153" i="1"/>
  <c r="Z153" i="1"/>
  <c r="BM152" i="1"/>
  <c r="AW152" i="1"/>
  <c r="AT152" i="1"/>
  <c r="AS152" i="1"/>
  <c r="AR152" i="1"/>
  <c r="AQ152" i="1"/>
  <c r="AP152" i="1"/>
  <c r="Z152" i="1"/>
  <c r="BM151" i="1"/>
  <c r="AW151" i="1"/>
  <c r="AS151" i="1"/>
  <c r="AT151" i="1" s="1"/>
  <c r="AR151" i="1"/>
  <c r="AP151" i="1"/>
  <c r="Z151" i="1"/>
  <c r="BM150" i="1"/>
  <c r="AW150" i="1"/>
  <c r="AS150" i="1"/>
  <c r="AT150" i="1" s="1"/>
  <c r="AR150" i="1"/>
  <c r="AP150" i="1"/>
  <c r="Z150" i="1"/>
  <c r="BM149" i="1"/>
  <c r="AW149" i="1"/>
  <c r="AS149" i="1"/>
  <c r="AT149" i="1" s="1"/>
  <c r="AR149" i="1"/>
  <c r="AQ149" i="1"/>
  <c r="AP149" i="1"/>
  <c r="Z149" i="1"/>
  <c r="BM148" i="1"/>
  <c r="AW148" i="1"/>
  <c r="AT148" i="1"/>
  <c r="AS148" i="1"/>
  <c r="AR148" i="1"/>
  <c r="AQ148" i="1"/>
  <c r="AP148" i="1"/>
  <c r="Z148" i="1"/>
  <c r="BM147" i="1"/>
  <c r="AW147" i="1"/>
  <c r="AS147" i="1"/>
  <c r="AT147" i="1" s="1"/>
  <c r="AR147" i="1"/>
  <c r="AP147" i="1"/>
  <c r="Z147" i="1"/>
  <c r="BM146" i="1"/>
  <c r="AW146" i="1"/>
  <c r="AS146" i="1"/>
  <c r="AT146" i="1" s="1"/>
  <c r="AR146" i="1"/>
  <c r="AP146" i="1"/>
  <c r="Z146" i="1"/>
  <c r="BM145" i="1"/>
  <c r="AW145" i="1"/>
  <c r="AS145" i="1"/>
  <c r="AT145" i="1" s="1"/>
  <c r="AR145" i="1"/>
  <c r="AP145" i="1"/>
  <c r="Z145" i="1"/>
  <c r="BM144" i="1"/>
  <c r="AW144" i="1"/>
  <c r="AS144" i="1"/>
  <c r="AT144" i="1" s="1"/>
  <c r="AR144" i="1"/>
  <c r="AQ144" i="1"/>
  <c r="AP144" i="1"/>
  <c r="Z144" i="1"/>
  <c r="BM143" i="1"/>
  <c r="AW143" i="1"/>
  <c r="AT143" i="1"/>
  <c r="AS143" i="1"/>
  <c r="AR143" i="1"/>
  <c r="AQ143" i="1"/>
  <c r="AP143" i="1"/>
  <c r="Z143" i="1"/>
  <c r="BM142" i="1"/>
  <c r="AW142" i="1"/>
  <c r="AS142" i="1"/>
  <c r="AT142" i="1" s="1"/>
  <c r="AR142" i="1"/>
  <c r="AQ142" i="1"/>
  <c r="AP142" i="1"/>
  <c r="Z142" i="1"/>
  <c r="BM141" i="1"/>
  <c r="AW141" i="1"/>
  <c r="AT141" i="1"/>
  <c r="AS141" i="1"/>
  <c r="AR141" i="1"/>
  <c r="AQ141" i="1"/>
  <c r="AP141" i="1"/>
  <c r="Z141" i="1"/>
  <c r="BM140" i="1"/>
  <c r="AW140" i="1"/>
  <c r="AS140" i="1"/>
  <c r="AT140" i="1" s="1"/>
  <c r="AR140" i="1"/>
  <c r="AQ140" i="1"/>
  <c r="AP140" i="1"/>
  <c r="Z140" i="1"/>
  <c r="BM139" i="1"/>
  <c r="AW139" i="1"/>
  <c r="AT139" i="1"/>
  <c r="AS139" i="1"/>
  <c r="AR139" i="1"/>
  <c r="AQ139" i="1"/>
  <c r="AP139" i="1"/>
  <c r="Z139" i="1"/>
  <c r="BM138" i="1"/>
  <c r="AW138" i="1"/>
  <c r="AS138" i="1"/>
  <c r="AT138" i="1" s="1"/>
  <c r="AR138" i="1"/>
  <c r="AP138" i="1"/>
  <c r="Z138" i="1"/>
  <c r="BM137" i="1"/>
  <c r="AW137" i="1"/>
  <c r="AS137" i="1"/>
  <c r="AT137" i="1" s="1"/>
  <c r="AR137" i="1"/>
  <c r="AP137" i="1"/>
  <c r="Z137" i="1"/>
  <c r="BM136" i="1"/>
  <c r="AW136" i="1"/>
  <c r="AS136" i="1"/>
  <c r="AT136" i="1" s="1"/>
  <c r="AR136" i="1"/>
  <c r="AQ136" i="1"/>
  <c r="AP136" i="1"/>
  <c r="Z136" i="1"/>
  <c r="BM135" i="1"/>
  <c r="AW135" i="1"/>
  <c r="AT135" i="1"/>
  <c r="AS135" i="1"/>
  <c r="AR135" i="1"/>
  <c r="AP135" i="1"/>
  <c r="Z135" i="1"/>
  <c r="BM134" i="1"/>
  <c r="AW134" i="1"/>
  <c r="AT134" i="1"/>
  <c r="AS134" i="1"/>
  <c r="AR134" i="1"/>
  <c r="AP134" i="1"/>
  <c r="Z134" i="1"/>
  <c r="BM133" i="1"/>
  <c r="AW133" i="1"/>
  <c r="AT133" i="1"/>
  <c r="AS133" i="1"/>
  <c r="AR133" i="1"/>
  <c r="AQ133" i="1"/>
  <c r="AP133" i="1"/>
  <c r="Z133" i="1"/>
  <c r="BM132" i="1"/>
  <c r="AW132" i="1"/>
  <c r="AS132" i="1"/>
  <c r="AT132" i="1" s="1"/>
  <c r="AR132" i="1"/>
  <c r="AQ132" i="1"/>
  <c r="AP132" i="1"/>
  <c r="Z132" i="1"/>
  <c r="BM131" i="1"/>
  <c r="AW131" i="1"/>
  <c r="AT131" i="1"/>
  <c r="AS131" i="1"/>
  <c r="AR131" i="1"/>
  <c r="AQ131" i="1"/>
  <c r="AP131" i="1"/>
  <c r="Z131" i="1"/>
  <c r="BM130" i="1"/>
  <c r="AW130" i="1"/>
  <c r="AS130" i="1"/>
  <c r="AT130" i="1" s="1"/>
  <c r="AR130" i="1"/>
  <c r="AQ130" i="1"/>
  <c r="AP130" i="1"/>
  <c r="Z130" i="1"/>
  <c r="BM129" i="1"/>
  <c r="AW129" i="1"/>
  <c r="AT129" i="1"/>
  <c r="AS129" i="1"/>
  <c r="AR129" i="1"/>
  <c r="AP129" i="1"/>
  <c r="Z129" i="1"/>
  <c r="BM128" i="1"/>
  <c r="AW128" i="1"/>
  <c r="AT128" i="1"/>
  <c r="AS128" i="1"/>
  <c r="AR128" i="1"/>
  <c r="AQ128" i="1"/>
  <c r="AP128" i="1"/>
  <c r="Z128" i="1"/>
  <c r="BM127" i="1"/>
  <c r="AW127" i="1"/>
  <c r="AS127" i="1"/>
  <c r="AT127" i="1" s="1"/>
  <c r="AR127" i="1"/>
  <c r="AP127" i="1"/>
  <c r="BM126" i="1"/>
  <c r="AW126" i="1"/>
  <c r="AS126" i="1"/>
  <c r="AT126" i="1" s="1"/>
  <c r="AR126" i="1"/>
  <c r="AP126" i="1"/>
  <c r="Z126" i="1"/>
  <c r="BM125" i="1"/>
  <c r="AW125" i="1"/>
  <c r="AS125" i="1"/>
  <c r="AT125" i="1" s="1"/>
  <c r="AR125" i="1"/>
  <c r="AP125" i="1"/>
  <c r="Z125" i="1"/>
  <c r="BM124" i="1"/>
  <c r="AW124" i="1"/>
  <c r="AS124" i="1"/>
  <c r="AT124" i="1" s="1"/>
  <c r="AR124" i="1"/>
  <c r="AP124" i="1"/>
  <c r="Z124" i="1"/>
  <c r="BM123" i="1"/>
  <c r="AW123" i="1"/>
  <c r="AS123" i="1"/>
  <c r="AT123" i="1" s="1"/>
  <c r="AR123" i="1"/>
  <c r="AP123" i="1"/>
  <c r="Z123" i="1"/>
  <c r="BM122" i="1"/>
  <c r="AW122" i="1"/>
  <c r="AS122" i="1"/>
  <c r="AT122" i="1" s="1"/>
  <c r="AR122" i="1"/>
  <c r="AP122" i="1"/>
  <c r="Y122" i="1"/>
  <c r="BM121" i="1"/>
  <c r="AW121" i="1"/>
  <c r="AT121" i="1"/>
  <c r="AS121" i="1"/>
  <c r="AR121" i="1"/>
  <c r="AP121" i="1"/>
  <c r="Z121" i="1"/>
  <c r="BM120" i="1"/>
  <c r="AW120" i="1"/>
  <c r="AT120" i="1"/>
  <c r="AS120" i="1"/>
  <c r="AR120" i="1"/>
  <c r="AP120" i="1"/>
  <c r="Z120" i="1"/>
  <c r="BM119" i="1"/>
  <c r="AW119" i="1"/>
  <c r="AT119" i="1"/>
  <c r="AS119" i="1"/>
  <c r="AR119" i="1"/>
  <c r="AP119" i="1"/>
  <c r="Z119" i="1"/>
  <c r="BM118" i="1"/>
  <c r="AW118" i="1"/>
  <c r="AT118" i="1"/>
  <c r="AS118" i="1"/>
  <c r="AR118" i="1"/>
  <c r="AP118" i="1"/>
  <c r="Z118" i="1"/>
  <c r="BM117" i="1"/>
  <c r="AW117" i="1"/>
  <c r="AT117" i="1"/>
  <c r="AS117" i="1"/>
  <c r="AR117" i="1"/>
  <c r="AP117" i="1"/>
  <c r="Z117" i="1"/>
  <c r="BM116" i="1"/>
  <c r="AW116" i="1"/>
  <c r="AT116" i="1"/>
  <c r="AS116" i="1"/>
  <c r="AR116" i="1"/>
  <c r="AP116" i="1"/>
  <c r="Z116" i="1"/>
  <c r="BM115" i="1"/>
  <c r="AW115" i="1"/>
  <c r="AT115" i="1"/>
  <c r="AS115" i="1"/>
  <c r="AR115" i="1"/>
  <c r="AP115" i="1"/>
  <c r="Z115" i="1"/>
  <c r="BM114" i="1"/>
  <c r="AW114" i="1"/>
  <c r="AT114" i="1"/>
  <c r="AS114" i="1"/>
  <c r="AR114" i="1"/>
  <c r="AP114" i="1"/>
  <c r="Z114" i="1"/>
  <c r="BM113" i="1"/>
  <c r="AW113" i="1"/>
  <c r="AT113" i="1"/>
  <c r="AS113" i="1"/>
  <c r="AR113" i="1"/>
  <c r="AP113" i="1"/>
  <c r="Z113" i="1"/>
  <c r="BM112" i="1"/>
  <c r="AW112" i="1"/>
  <c r="AT112" i="1"/>
  <c r="AS112" i="1"/>
  <c r="AR112" i="1"/>
  <c r="AP112" i="1"/>
  <c r="Z112" i="1"/>
  <c r="BM111" i="1"/>
  <c r="AW111" i="1"/>
  <c r="AT111" i="1"/>
  <c r="AS111" i="1"/>
  <c r="AR111" i="1"/>
  <c r="AQ111" i="1"/>
  <c r="AP111" i="1"/>
  <c r="Z111" i="1"/>
  <c r="BM110" i="1"/>
  <c r="AW110" i="1"/>
  <c r="AS110" i="1"/>
  <c r="AT110" i="1" s="1"/>
  <c r="AR110" i="1"/>
  <c r="AP110" i="1"/>
  <c r="Z110" i="1"/>
  <c r="BM109" i="1"/>
  <c r="AW109" i="1"/>
  <c r="AS109" i="1"/>
  <c r="AT109" i="1" s="1"/>
  <c r="AR109" i="1"/>
  <c r="AP109" i="1"/>
  <c r="Z109" i="1"/>
  <c r="BM108" i="1"/>
  <c r="AW108" i="1"/>
  <c r="AS108" i="1"/>
  <c r="AT108" i="1" s="1"/>
  <c r="AR108" i="1"/>
  <c r="AP108" i="1"/>
  <c r="Z108" i="1"/>
  <c r="BM107" i="1"/>
  <c r="AW107" i="1"/>
  <c r="AS107" i="1"/>
  <c r="AT107" i="1" s="1"/>
  <c r="AR107" i="1"/>
  <c r="AP107" i="1"/>
  <c r="Z107" i="1"/>
  <c r="BM106" i="1"/>
  <c r="AW106" i="1"/>
  <c r="AS106" i="1"/>
  <c r="AT106" i="1" s="1"/>
  <c r="AR106" i="1"/>
  <c r="AQ106" i="1"/>
  <c r="AP106" i="1"/>
  <c r="Z106" i="1"/>
  <c r="BM105" i="1"/>
  <c r="AW105" i="1"/>
  <c r="AT105" i="1"/>
  <c r="AS105" i="1"/>
  <c r="AR105" i="1"/>
  <c r="AP105" i="1"/>
  <c r="Z105" i="1"/>
  <c r="BM104" i="1"/>
  <c r="AW104" i="1"/>
  <c r="AT104" i="1"/>
  <c r="AS104" i="1"/>
  <c r="AR104" i="1"/>
  <c r="AP104" i="1"/>
  <c r="Z104" i="1"/>
  <c r="BM103" i="1"/>
  <c r="AW103" i="1"/>
  <c r="AT103" i="1"/>
  <c r="AS103" i="1"/>
  <c r="AR103" i="1"/>
  <c r="AP103" i="1"/>
  <c r="Z103" i="1"/>
  <c r="BM102" i="1"/>
  <c r="AW102" i="1"/>
  <c r="AT102" i="1"/>
  <c r="AS102" i="1"/>
  <c r="AR102" i="1"/>
  <c r="AP102" i="1"/>
  <c r="Z102" i="1"/>
  <c r="BM101" i="1"/>
  <c r="AW101" i="1"/>
  <c r="AT101" i="1"/>
  <c r="AS101" i="1"/>
  <c r="AR101" i="1"/>
  <c r="AP101" i="1"/>
  <c r="Z101" i="1"/>
  <c r="BM100" i="1"/>
  <c r="AW100" i="1"/>
  <c r="AT100" i="1"/>
  <c r="AS100" i="1"/>
  <c r="AR100" i="1"/>
  <c r="AP100" i="1"/>
  <c r="Z100" i="1"/>
  <c r="BM99" i="1"/>
  <c r="AW99" i="1"/>
  <c r="AT99" i="1"/>
  <c r="AS99" i="1"/>
  <c r="AR99" i="1"/>
  <c r="AQ99" i="1"/>
  <c r="AP99" i="1"/>
  <c r="Z99" i="1"/>
  <c r="BM98" i="1"/>
  <c r="AW98" i="1"/>
  <c r="AS98" i="1"/>
  <c r="AT98" i="1" s="1"/>
  <c r="AR98" i="1"/>
  <c r="AP98" i="1"/>
  <c r="Z98" i="1"/>
  <c r="BM97" i="1"/>
  <c r="AW97" i="1"/>
  <c r="AS97" i="1"/>
  <c r="AT97" i="1" s="1"/>
  <c r="AR97" i="1"/>
  <c r="AQ97" i="1"/>
  <c r="AP97" i="1"/>
  <c r="Z97" i="1"/>
  <c r="BM96" i="1"/>
  <c r="AW96" i="1"/>
  <c r="AT96" i="1"/>
  <c r="AS96" i="1"/>
  <c r="AR96" i="1"/>
  <c r="AP96" i="1"/>
  <c r="Z96" i="1"/>
  <c r="BM95" i="1"/>
  <c r="AW95" i="1"/>
  <c r="AT95" i="1"/>
  <c r="AS95" i="1"/>
  <c r="AR95" i="1"/>
  <c r="AQ95" i="1"/>
  <c r="AP95" i="1"/>
  <c r="Z95" i="1"/>
  <c r="BM94" i="1"/>
  <c r="AW94" i="1"/>
  <c r="AS94" i="1"/>
  <c r="AT94" i="1" s="1"/>
  <c r="AR94" i="1"/>
  <c r="AP94" i="1"/>
  <c r="Z94" i="1"/>
  <c r="BM93" i="1"/>
  <c r="AW93" i="1"/>
  <c r="AS93" i="1"/>
  <c r="AT93" i="1" s="1"/>
  <c r="AR93" i="1"/>
  <c r="AQ93" i="1"/>
  <c r="Z93" i="1"/>
  <c r="BM92" i="1"/>
  <c r="AW92" i="1"/>
  <c r="AS92" i="1"/>
  <c r="AT92" i="1" s="1"/>
  <c r="AR92" i="1"/>
  <c r="AP92" i="1"/>
  <c r="Z92" i="1"/>
  <c r="BM91" i="1"/>
  <c r="AW91" i="1"/>
  <c r="AS91" i="1"/>
  <c r="AT91" i="1" s="1"/>
  <c r="AR91" i="1"/>
  <c r="AP91" i="1"/>
  <c r="Z91" i="1"/>
  <c r="BM90" i="1"/>
  <c r="AW90" i="1"/>
  <c r="AS90" i="1"/>
  <c r="AT90" i="1" s="1"/>
  <c r="AR90" i="1"/>
  <c r="AP90" i="1"/>
  <c r="Z90" i="1"/>
  <c r="BM89" i="1"/>
  <c r="AW89" i="1"/>
  <c r="AS89" i="1"/>
  <c r="AT89" i="1" s="1"/>
  <c r="AR89" i="1"/>
  <c r="AP89" i="1"/>
  <c r="Z89" i="1"/>
  <c r="BM88" i="1"/>
  <c r="AW88" i="1"/>
  <c r="AS88" i="1"/>
  <c r="AT88" i="1" s="1"/>
  <c r="AR88" i="1"/>
  <c r="AQ88" i="1"/>
  <c r="AP88" i="1"/>
  <c r="Z88" i="1"/>
  <c r="BM87" i="1"/>
  <c r="AW87" i="1"/>
  <c r="AT87" i="1"/>
  <c r="AS87" i="1"/>
  <c r="AR87" i="1"/>
  <c r="AP87" i="1"/>
  <c r="Y87" i="1"/>
  <c r="BM86" i="1"/>
  <c r="AW86" i="1"/>
  <c r="AS86" i="1"/>
  <c r="AT86" i="1" s="1"/>
  <c r="AR86" i="1"/>
  <c r="AQ86" i="1"/>
  <c r="AP86" i="1"/>
  <c r="Z86" i="1"/>
  <c r="BM85" i="1"/>
  <c r="AW85" i="1"/>
  <c r="AT85" i="1"/>
  <c r="AS85" i="1"/>
  <c r="AR85" i="1"/>
  <c r="AQ85" i="1"/>
  <c r="AP85" i="1"/>
  <c r="Z85" i="1"/>
  <c r="BM84" i="1"/>
  <c r="AW84" i="1"/>
  <c r="AS84" i="1"/>
  <c r="AT84" i="1" s="1"/>
  <c r="AR84" i="1"/>
  <c r="AQ617" i="1" s="1"/>
  <c r="AP84" i="1"/>
  <c r="Z84" i="1"/>
  <c r="BM83" i="1"/>
  <c r="AW83" i="1"/>
  <c r="AS83" i="1"/>
  <c r="AT83" i="1" s="1"/>
  <c r="AR83" i="1"/>
  <c r="AP83" i="1"/>
  <c r="Z83" i="1"/>
  <c r="BM82" i="1"/>
  <c r="AW82" i="1"/>
  <c r="AS82" i="1"/>
  <c r="AT82" i="1" s="1"/>
  <c r="AR82" i="1"/>
  <c r="AP82" i="1"/>
  <c r="Z82" i="1"/>
  <c r="BM81" i="1"/>
  <c r="AW81" i="1"/>
  <c r="AS81" i="1"/>
  <c r="AT81" i="1" s="1"/>
  <c r="AR81" i="1"/>
  <c r="AP81" i="1"/>
  <c r="Z81" i="1"/>
  <c r="BM80" i="1"/>
  <c r="AW80" i="1"/>
  <c r="AS80" i="1"/>
  <c r="AT80" i="1" s="1"/>
  <c r="AR80" i="1"/>
  <c r="AP80" i="1"/>
  <c r="Z80" i="1"/>
  <c r="BM79" i="1"/>
  <c r="AW79" i="1"/>
  <c r="AS79" i="1"/>
  <c r="AT79" i="1" s="1"/>
  <c r="AR79" i="1"/>
  <c r="AQ79" i="1"/>
  <c r="AP79" i="1"/>
  <c r="Z79" i="1"/>
  <c r="BY78" i="1"/>
  <c r="BM78" i="1"/>
  <c r="BI78" i="1"/>
  <c r="AW78" i="1" s="1"/>
  <c r="AT78" i="1"/>
  <c r="AS78" i="1"/>
  <c r="AR78" i="1"/>
  <c r="AQ78" i="1"/>
  <c r="AP78" i="1"/>
  <c r="Z78" i="1"/>
  <c r="BM77" i="1"/>
  <c r="AW77" i="1"/>
  <c r="AT77" i="1"/>
  <c r="AS77" i="1"/>
  <c r="AR77" i="1"/>
  <c r="AP77" i="1"/>
  <c r="Z77" i="1"/>
  <c r="BM76" i="1"/>
  <c r="AW76" i="1"/>
  <c r="AS76" i="1"/>
  <c r="AT76" i="1" s="1"/>
  <c r="AR76" i="1"/>
  <c r="AP76" i="1"/>
  <c r="Z76" i="1"/>
  <c r="BM75" i="1"/>
  <c r="AW75" i="1"/>
  <c r="AT75" i="1"/>
  <c r="AS75" i="1"/>
  <c r="AR75" i="1"/>
  <c r="AP75" i="1"/>
  <c r="Z75" i="1"/>
  <c r="CA74" i="1"/>
  <c r="BM74" i="1" s="1"/>
  <c r="BK74" i="1"/>
  <c r="AW74" i="1"/>
  <c r="AT74" i="1"/>
  <c r="AS74" i="1"/>
  <c r="AR74" i="1"/>
  <c r="AQ74" i="1"/>
  <c r="AP74" i="1"/>
  <c r="Z74" i="1"/>
  <c r="BM73" i="1"/>
  <c r="AW73" i="1"/>
  <c r="AS73" i="1"/>
  <c r="AT73" i="1" s="1"/>
  <c r="AR73" i="1"/>
  <c r="AP73" i="1"/>
  <c r="Z73" i="1"/>
  <c r="BM72" i="1"/>
  <c r="AW72" i="1"/>
  <c r="AT72" i="1"/>
  <c r="AS72" i="1"/>
  <c r="AR72" i="1"/>
  <c r="AP72" i="1"/>
  <c r="Z72" i="1"/>
  <c r="BM71" i="1"/>
  <c r="AW71" i="1"/>
  <c r="AS71" i="1"/>
  <c r="AT71" i="1" s="1"/>
  <c r="AR71" i="1"/>
  <c r="AP71" i="1"/>
  <c r="Z71" i="1"/>
  <c r="BM70" i="1"/>
  <c r="AW70" i="1"/>
  <c r="AS70" i="1"/>
  <c r="AT70" i="1" s="1"/>
  <c r="AR70" i="1"/>
  <c r="AP70" i="1"/>
  <c r="Z70" i="1"/>
  <c r="BR69" i="1"/>
  <c r="BM69" i="1"/>
  <c r="BB69" i="1"/>
  <c r="AW69" i="1"/>
  <c r="AS69" i="1"/>
  <c r="AT69" i="1" s="1"/>
  <c r="AR69" i="1"/>
  <c r="AP69" i="1"/>
  <c r="Z69" i="1"/>
  <c r="BM68" i="1"/>
  <c r="AW68" i="1"/>
  <c r="AS68" i="1"/>
  <c r="AT68" i="1" s="1"/>
  <c r="AR68" i="1"/>
  <c r="AP68" i="1"/>
  <c r="Y68" i="1"/>
  <c r="BM67" i="1"/>
  <c r="AW67" i="1"/>
  <c r="AS67" i="1"/>
  <c r="AT67" i="1" s="1"/>
  <c r="AR67" i="1"/>
  <c r="AP67" i="1"/>
  <c r="Y67" i="1"/>
  <c r="BM66" i="1"/>
  <c r="AW66" i="1"/>
  <c r="AS66" i="1"/>
  <c r="AT66" i="1" s="1"/>
  <c r="AR66" i="1"/>
  <c r="AP66" i="1"/>
  <c r="Z66" i="1"/>
  <c r="CA65" i="1"/>
  <c r="BM65" i="1"/>
  <c r="BK65" i="1"/>
  <c r="AW65" i="1"/>
  <c r="AS65" i="1"/>
  <c r="AT65" i="1" s="1"/>
  <c r="AR65" i="1"/>
  <c r="AP65" i="1"/>
  <c r="Z65" i="1"/>
  <c r="BM64" i="1"/>
  <c r="AW64" i="1"/>
  <c r="AT64" i="1"/>
  <c r="AS64" i="1"/>
  <c r="AR64" i="1"/>
  <c r="AQ64" i="1"/>
  <c r="AP64" i="1"/>
  <c r="Z64" i="1"/>
  <c r="BM63" i="1"/>
  <c r="AW63" i="1"/>
  <c r="AT63" i="1"/>
  <c r="AS63" i="1"/>
  <c r="AR63" i="1"/>
  <c r="AP63" i="1"/>
  <c r="Z63" i="1"/>
  <c r="BM62" i="1"/>
  <c r="AW62" i="1"/>
  <c r="AS62" i="1"/>
  <c r="AT62" i="1" s="1"/>
  <c r="AR62" i="1"/>
  <c r="AP62" i="1"/>
  <c r="Z62" i="1"/>
  <c r="CA61" i="1"/>
  <c r="BM61" i="1"/>
  <c r="BK61" i="1"/>
  <c r="AW61" i="1"/>
  <c r="AT61" i="1"/>
  <c r="AS61" i="1"/>
  <c r="AR61" i="1"/>
  <c r="AP61" i="1"/>
  <c r="Z61" i="1"/>
  <c r="BM60" i="1"/>
  <c r="AW60" i="1"/>
  <c r="AT60" i="1"/>
  <c r="AS60" i="1"/>
  <c r="AR60" i="1"/>
  <c r="AQ60" i="1"/>
  <c r="AP60" i="1"/>
  <c r="Z60" i="1"/>
  <c r="BM59" i="1"/>
  <c r="AW59" i="1"/>
  <c r="AS59" i="1"/>
  <c r="AT59" i="1" s="1"/>
  <c r="AR59" i="1"/>
  <c r="AP59" i="1"/>
  <c r="Z59" i="1"/>
  <c r="BM58" i="1"/>
  <c r="AW58" i="1"/>
  <c r="AT58" i="1"/>
  <c r="AS58" i="1"/>
  <c r="AR58" i="1"/>
  <c r="AP58" i="1"/>
  <c r="Z58" i="1"/>
  <c r="BM57" i="1"/>
  <c r="AW57" i="1"/>
  <c r="AS57" i="1"/>
  <c r="AT57" i="1" s="1"/>
  <c r="AR57" i="1"/>
  <c r="AP57" i="1"/>
  <c r="Z57" i="1"/>
  <c r="BM56" i="1"/>
  <c r="AW56" i="1"/>
  <c r="AS56" i="1"/>
  <c r="AT56" i="1" s="1"/>
  <c r="AR56" i="1"/>
  <c r="AP56" i="1"/>
  <c r="Z56" i="1"/>
  <c r="BM55" i="1"/>
  <c r="AW55" i="1"/>
  <c r="AS55" i="1"/>
  <c r="AT55" i="1" s="1"/>
  <c r="AR55" i="1"/>
  <c r="AP55" i="1"/>
  <c r="Z55" i="1"/>
  <c r="BM54" i="1"/>
  <c r="AW54" i="1"/>
  <c r="AR54" i="1"/>
  <c r="AP54" i="1"/>
  <c r="Z54" i="1"/>
  <c r="X54" i="1"/>
  <c r="BM53" i="1"/>
  <c r="AW53" i="1"/>
  <c r="AT53" i="1"/>
  <c r="AS53" i="1"/>
  <c r="AR53" i="1"/>
  <c r="AP53" i="1"/>
  <c r="Z53" i="1"/>
  <c r="BM52" i="1"/>
  <c r="AW52" i="1"/>
  <c r="AS52" i="1"/>
  <c r="AT52" i="1" s="1"/>
  <c r="AR52" i="1"/>
  <c r="AP52" i="1"/>
  <c r="Z52" i="1"/>
  <c r="BM51" i="1"/>
  <c r="AW51" i="1"/>
  <c r="AS51" i="1"/>
  <c r="AT51" i="1" s="1"/>
  <c r="AR51" i="1"/>
  <c r="AP51" i="1"/>
  <c r="Z51" i="1"/>
  <c r="BM50" i="1"/>
  <c r="AW50" i="1"/>
  <c r="AS50" i="1"/>
  <c r="AT50" i="1" s="1"/>
  <c r="AR50" i="1"/>
  <c r="AP50" i="1"/>
  <c r="Z50" i="1"/>
  <c r="BM49" i="1"/>
  <c r="AW49" i="1"/>
  <c r="AT49" i="1"/>
  <c r="AS49" i="1"/>
  <c r="AR49" i="1"/>
  <c r="AP49" i="1"/>
  <c r="BM48" i="1"/>
  <c r="AW48" i="1"/>
  <c r="AT48" i="1"/>
  <c r="AS48" i="1"/>
  <c r="AR48" i="1"/>
  <c r="AP48" i="1"/>
  <c r="Z48" i="1"/>
  <c r="BM47" i="1"/>
  <c r="AW47" i="1"/>
  <c r="AS47" i="1"/>
  <c r="AT47" i="1" s="1"/>
  <c r="AR47" i="1"/>
  <c r="AP47" i="1"/>
  <c r="Z47" i="1"/>
  <c r="BM46" i="1"/>
  <c r="AW46" i="1"/>
  <c r="AS46" i="1"/>
  <c r="AT46" i="1" s="1"/>
  <c r="AR46" i="1"/>
  <c r="AP46" i="1"/>
  <c r="Z46" i="1"/>
  <c r="BM45" i="1"/>
  <c r="AW45" i="1"/>
  <c r="AS45" i="1"/>
  <c r="AT45" i="1" s="1"/>
  <c r="AR45" i="1"/>
  <c r="AP45" i="1"/>
  <c r="Z45" i="1"/>
  <c r="BM44" i="1"/>
  <c r="AW44" i="1"/>
  <c r="AT44" i="1"/>
  <c r="AS44" i="1"/>
  <c r="AR44" i="1"/>
  <c r="AP44" i="1"/>
  <c r="Z44" i="1"/>
  <c r="BM43" i="1"/>
  <c r="AW43" i="1"/>
  <c r="AT43" i="1"/>
  <c r="AR43" i="1"/>
  <c r="AP43" i="1"/>
  <c r="Z43" i="1"/>
  <c r="X43" i="1"/>
  <c r="BM42" i="1"/>
  <c r="AW42" i="1"/>
  <c r="AT42" i="1"/>
  <c r="AR42" i="1"/>
  <c r="AP42" i="1"/>
  <c r="Z42" i="1"/>
  <c r="BM41" i="1"/>
  <c r="AW41" i="1"/>
  <c r="AR41" i="1"/>
  <c r="AP41" i="1"/>
  <c r="Z41" i="1"/>
  <c r="X41" i="1"/>
  <c r="BM40" i="1"/>
  <c r="AW40" i="1"/>
  <c r="AS40" i="1"/>
  <c r="AT40" i="1" s="1"/>
  <c r="AR40" i="1"/>
  <c r="AP40" i="1"/>
  <c r="Z40" i="1"/>
  <c r="BM39" i="1"/>
  <c r="AW39" i="1"/>
  <c r="AT39" i="1"/>
  <c r="AS39" i="1"/>
  <c r="AR39" i="1"/>
  <c r="AP39" i="1"/>
  <c r="Z39" i="1"/>
  <c r="BM38" i="1"/>
  <c r="AW38" i="1"/>
  <c r="AS38" i="1"/>
  <c r="AT38" i="1" s="1"/>
  <c r="AR38" i="1"/>
  <c r="AP38" i="1"/>
  <c r="Z38" i="1"/>
  <c r="BM37" i="1"/>
  <c r="AW37" i="1"/>
  <c r="AS37" i="1"/>
  <c r="AT37" i="1" s="1"/>
  <c r="AR37" i="1"/>
  <c r="AP37" i="1"/>
  <c r="Z37" i="1"/>
  <c r="BM36" i="1"/>
  <c r="AW36" i="1"/>
  <c r="AS36" i="1"/>
  <c r="AT36" i="1" s="1"/>
  <c r="AR36" i="1"/>
  <c r="AP36" i="1"/>
  <c r="Z36" i="1"/>
  <c r="BM35" i="1"/>
  <c r="AW35" i="1"/>
  <c r="AT35" i="1"/>
  <c r="AS35" i="1"/>
  <c r="AR35" i="1"/>
  <c r="AP35" i="1"/>
  <c r="Z35" i="1"/>
  <c r="BM34" i="1"/>
  <c r="AW34" i="1"/>
  <c r="AS34" i="1"/>
  <c r="AT34" i="1" s="1"/>
  <c r="AR34" i="1"/>
  <c r="AP34" i="1"/>
  <c r="Z34" i="1"/>
  <c r="BM33" i="1"/>
  <c r="AW33" i="1"/>
  <c r="AR33" i="1"/>
  <c r="AP33" i="1"/>
  <c r="Z33" i="1"/>
  <c r="X33" i="1"/>
  <c r="BM32" i="1"/>
  <c r="AW32" i="1"/>
  <c r="AW17" i="1" s="1"/>
  <c r="AS32" i="1"/>
  <c r="AT32" i="1" s="1"/>
  <c r="AR32" i="1"/>
  <c r="AP32" i="1"/>
  <c r="Z32" i="1"/>
  <c r="BM31" i="1"/>
  <c r="AW31" i="1"/>
  <c r="AT31" i="1"/>
  <c r="AR31" i="1"/>
  <c r="AP31" i="1"/>
  <c r="Z31" i="1"/>
  <c r="BM30" i="1"/>
  <c r="AW30" i="1"/>
  <c r="AT30" i="1"/>
  <c r="AS30" i="1"/>
  <c r="AR30" i="1"/>
  <c r="AP30" i="1"/>
  <c r="Z30" i="1"/>
  <c r="BM29" i="1"/>
  <c r="AW29" i="1"/>
  <c r="AR29" i="1"/>
  <c r="AP29" i="1"/>
  <c r="Z29" i="1"/>
  <c r="X29" i="1"/>
  <c r="BM28" i="1"/>
  <c r="AW28" i="1"/>
  <c r="AT28" i="1"/>
  <c r="AS28" i="1"/>
  <c r="AR28" i="1"/>
  <c r="AQ28" i="1"/>
  <c r="AP28" i="1"/>
  <c r="Z28" i="1"/>
  <c r="BZ27" i="1"/>
  <c r="BM27" i="1" s="1"/>
  <c r="BJ27" i="1"/>
  <c r="AW27" i="1"/>
  <c r="AT27" i="1"/>
  <c r="AS27" i="1"/>
  <c r="AR27" i="1"/>
  <c r="AQ27" i="1"/>
  <c r="Z27" i="1"/>
  <c r="BM26" i="1"/>
  <c r="AW26" i="1"/>
  <c r="AT26" i="1"/>
  <c r="AS26" i="1"/>
  <c r="AR26" i="1"/>
  <c r="AP26" i="1"/>
  <c r="Z26" i="1"/>
  <c r="BM25" i="1"/>
  <c r="AW25" i="1"/>
  <c r="AS25" i="1"/>
  <c r="AT25" i="1" s="1"/>
  <c r="AR25" i="1"/>
  <c r="AP25" i="1"/>
  <c r="Z25" i="1"/>
  <c r="BM24" i="1"/>
  <c r="AW24" i="1"/>
  <c r="AS24" i="1"/>
  <c r="AT24" i="1" s="1"/>
  <c r="AR24" i="1"/>
  <c r="AP24" i="1"/>
  <c r="Z24" i="1"/>
  <c r="BM23" i="1"/>
  <c r="AW23" i="1"/>
  <c r="AT23" i="1"/>
  <c r="AS23" i="1"/>
  <c r="AR23" i="1"/>
  <c r="AP23" i="1"/>
  <c r="Z23" i="1"/>
  <c r="BM22" i="1"/>
  <c r="AW22" i="1"/>
  <c r="AT22" i="1"/>
  <c r="AS22" i="1"/>
  <c r="AR22" i="1"/>
  <c r="AP22" i="1"/>
  <c r="Z22" i="1"/>
  <c r="BM21" i="1"/>
  <c r="AW21" i="1"/>
  <c r="AS21" i="1"/>
  <c r="AT21" i="1" s="1"/>
  <c r="AR21" i="1"/>
  <c r="AP21" i="1"/>
  <c r="Z21" i="1"/>
  <c r="BM20" i="1"/>
  <c r="AW20" i="1"/>
  <c r="AS20" i="1"/>
  <c r="AT20" i="1" s="1"/>
  <c r="AR20" i="1"/>
  <c r="AP20" i="1"/>
  <c r="Z20" i="1"/>
  <c r="BM19" i="1"/>
  <c r="AW19" i="1"/>
  <c r="AT19" i="1"/>
  <c r="AS19" i="1"/>
  <c r="AR19" i="1"/>
  <c r="AP19" i="1"/>
  <c r="Z19" i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8" i="1" s="1"/>
  <c r="BM18" i="1"/>
  <c r="AW18" i="1"/>
  <c r="AT18" i="1"/>
  <c r="AS18" i="1"/>
  <c r="AR18" i="1"/>
  <c r="AP18" i="1"/>
  <c r="Z18" i="1"/>
  <c r="CB17" i="1"/>
  <c r="BZ17" i="1"/>
  <c r="BZ14" i="1" s="1"/>
  <c r="BZ13" i="1" s="1"/>
  <c r="BY17" i="1"/>
  <c r="BX17" i="1"/>
  <c r="BW17" i="1"/>
  <c r="BV17" i="1"/>
  <c r="BV14" i="1" s="1"/>
  <c r="BV13" i="1" s="1"/>
  <c r="BU17" i="1"/>
  <c r="BU14" i="1" s="1"/>
  <c r="BU13" i="1" s="1"/>
  <c r="BT17" i="1"/>
  <c r="BS17" i="1"/>
  <c r="BR17" i="1"/>
  <c r="BR14" i="1" s="1"/>
  <c r="BR13" i="1" s="1"/>
  <c r="BQ17" i="1"/>
  <c r="BP17" i="1"/>
  <c r="BO17" i="1"/>
  <c r="BN17" i="1"/>
  <c r="BN14" i="1" s="1"/>
  <c r="BL17" i="1"/>
  <c r="BK17" i="1"/>
  <c r="BJ17" i="1"/>
  <c r="BJ14" i="1" s="1"/>
  <c r="BJ13" i="1" s="1"/>
  <c r="BH17" i="1"/>
  <c r="BG17" i="1"/>
  <c r="BF17" i="1"/>
  <c r="BF14" i="1" s="1"/>
  <c r="BF13" i="1" s="1"/>
  <c r="BE17" i="1"/>
  <c r="BE14" i="1" s="1"/>
  <c r="BE13" i="1" s="1"/>
  <c r="BD17" i="1"/>
  <c r="BC17" i="1"/>
  <c r="BB17" i="1"/>
  <c r="BB14" i="1" s="1"/>
  <c r="BB13" i="1" s="1"/>
  <c r="BA17" i="1"/>
  <c r="AZ17" i="1"/>
  <c r="AY17" i="1"/>
  <c r="AX17" i="1"/>
  <c r="AX14" i="1" s="1"/>
  <c r="T16" i="1"/>
  <c r="S16" i="1"/>
  <c r="S14" i="1" s="1"/>
  <c r="S13" i="1" s="1"/>
  <c r="R16" i="1"/>
  <c r="R14" i="1" s="1"/>
  <c r="R13" i="1" s="1"/>
  <c r="Q16" i="1"/>
  <c r="P16" i="1"/>
  <c r="O16" i="1"/>
  <c r="N16" i="1"/>
  <c r="CB14" i="1"/>
  <c r="BY14" i="1"/>
  <c r="BY13" i="1" s="1"/>
  <c r="BX14" i="1"/>
  <c r="BW14" i="1"/>
  <c r="BT14" i="1"/>
  <c r="BT13" i="1" s="1"/>
  <c r="BS14" i="1"/>
  <c r="BS13" i="1" s="1"/>
  <c r="BQ14" i="1"/>
  <c r="BQ13" i="1" s="1"/>
  <c r="BP14" i="1"/>
  <c r="BO14" i="1"/>
  <c r="BL14" i="1"/>
  <c r="BK14" i="1"/>
  <c r="BH14" i="1"/>
  <c r="BG14" i="1"/>
  <c r="BD14" i="1"/>
  <c r="BD13" i="1" s="1"/>
  <c r="BC14" i="1"/>
  <c r="BC13" i="1" s="1"/>
  <c r="BA14" i="1"/>
  <c r="BA13" i="1" s="1"/>
  <c r="AZ14" i="1"/>
  <c r="AY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T14" i="1"/>
  <c r="T13" i="1" s="1"/>
  <c r="Q14" i="1"/>
  <c r="P14" i="1"/>
  <c r="X10" i="1" s="1"/>
  <c r="O14" i="1"/>
  <c r="N14" i="1"/>
  <c r="M14" i="1"/>
  <c r="L14" i="1"/>
  <c r="K14" i="1"/>
  <c r="J14" i="1"/>
  <c r="BX13" i="1"/>
  <c r="BW13" i="1"/>
  <c r="BP13" i="1"/>
  <c r="BO13" i="1"/>
  <c r="BH13" i="1"/>
  <c r="BG13" i="1"/>
  <c r="AZ13" i="1"/>
  <c r="AY13" i="1"/>
  <c r="Q13" i="1"/>
  <c r="O13" i="1"/>
  <c r="AP9" i="1"/>
  <c r="AP8" i="1"/>
  <c r="AP7" i="1" s="1"/>
  <c r="AP6" i="1"/>
  <c r="BV5" i="1"/>
  <c r="BT5" i="1"/>
  <c r="BQ4" i="1"/>
  <c r="BO5" i="1" s="1"/>
  <c r="BN13" i="1" l="1"/>
  <c r="AW14" i="1"/>
  <c r="AX13" i="1"/>
  <c r="BM17" i="1"/>
  <c r="AP11" i="1"/>
  <c r="BI17" i="1"/>
  <c r="BI14" i="1" s="1"/>
  <c r="BI13" i="1" s="1"/>
  <c r="CA17" i="1"/>
  <c r="CA14" i="1" s="1"/>
  <c r="CA13" i="1" s="1"/>
  <c r="A434" i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33" i="1"/>
  <c r="AP5" i="1"/>
  <c r="AP313" i="1"/>
  <c r="AP362" i="1"/>
  <c r="AP417" i="1"/>
  <c r="BM489" i="1"/>
  <c r="CB481" i="1"/>
  <c r="CB13" i="1" s="1"/>
  <c r="CA207" i="1"/>
  <c r="BM207" i="1" s="1"/>
  <c r="AP365" i="1"/>
  <c r="N244" i="1"/>
  <c r="AP244" i="1" s="1"/>
  <c r="N252" i="1"/>
  <c r="AP252" i="1" s="1"/>
  <c r="N297" i="1"/>
  <c r="AP297" i="1" s="1"/>
  <c r="N333" i="1"/>
  <c r="AP333" i="1" s="1"/>
  <c r="N360" i="1"/>
  <c r="BM599" i="1"/>
  <c r="CA481" i="1"/>
  <c r="N380" i="1"/>
  <c r="AW642" i="1"/>
  <c r="BK481" i="1"/>
  <c r="AP376" i="1"/>
  <c r="BL481" i="1"/>
  <c r="BL13" i="1" s="1"/>
  <c r="V379" i="1"/>
  <c r="E17" i="2"/>
  <c r="A434" i="2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33" i="2"/>
  <c r="E27" i="2"/>
  <c r="AP27" i="1" s="1"/>
  <c r="E265" i="2"/>
  <c r="T207" i="2"/>
  <c r="T206" i="2" s="1"/>
  <c r="T13" i="2" s="1"/>
  <c r="E428" i="2"/>
  <c r="E380" i="2"/>
  <c r="T481" i="2"/>
  <c r="E481" i="2" s="1"/>
  <c r="AP481" i="1" s="1"/>
  <c r="AP360" i="1" l="1"/>
  <c r="AW481" i="1"/>
  <c r="AW13" i="1" s="1"/>
  <c r="N207" i="1"/>
  <c r="E207" i="2"/>
  <c r="BM14" i="1"/>
  <c r="BM13" i="1" s="1"/>
  <c r="AP429" i="1"/>
  <c r="AP428" i="1"/>
  <c r="BM481" i="1"/>
  <c r="BK13" i="1"/>
  <c r="E206" i="2" l="1"/>
  <c r="E13" i="2" s="1"/>
  <c r="AT207" i="1"/>
  <c r="AP207" i="1"/>
  <c r="N206" i="1"/>
  <c r="N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P23" authorId="0" shapeId="0" xr:uid="{00000000-0006-0000-0000-000001000000}">
      <text>
        <r>
          <rPr>
            <b/>
            <sz val="9"/>
            <color rgb="FF000000"/>
            <rFont val="Tahoma"/>
          </rPr>
          <t>НамыловЮИ:</t>
        </r>
        <r>
          <rPr>
            <sz val="11"/>
            <color theme="1"/>
            <rFont val="Calibri"/>
          </rPr>
          <t xml:space="preserve">
</t>
        </r>
        <r>
          <rPr>
            <sz val="9"/>
            <color rgb="FF000000"/>
            <rFont val="Tahoma"/>
          </rPr>
          <t>убрать полностью</t>
        </r>
        <r>
          <rPr>
            <sz val="11"/>
            <color theme="1"/>
            <rFont val="Calibri"/>
          </rPr>
          <t xml:space="preserve">
</t>
        </r>
      </text>
    </comment>
    <comment ref="P75" authorId="0" shapeId="0" xr:uid="{00000000-0006-0000-0000-000002000000}">
      <text>
        <r>
          <rPr>
            <b/>
            <sz val="9"/>
            <color rgb="FF000000"/>
            <rFont val="Tahoma"/>
          </rPr>
          <t>НамыловЮИ:</t>
        </r>
        <r>
          <rPr>
            <sz val="11"/>
            <color theme="1"/>
            <rFont val="Calibri"/>
          </rPr>
          <t xml:space="preserve">
</t>
        </r>
        <r>
          <rPr>
            <sz val="9"/>
            <color rgb="FF000000"/>
            <rFont val="Tahoma"/>
          </rPr>
          <t>полностью убрать</t>
        </r>
      </text>
    </comment>
  </commentList>
</comments>
</file>

<file path=xl/sharedStrings.xml><?xml version="1.0" encoding="utf-8"?>
<sst xmlns="http://schemas.openxmlformats.org/spreadsheetml/2006/main" count="4873" uniqueCount="779">
  <si>
    <t>Приложение № 1 к приказу</t>
  </si>
  <si>
    <t>Министерства ЖКХ и энергетики РС(Я)</t>
  </si>
  <si>
    <t>Адресный перечень многоквартирных домов, в отношении которых в 2022-2024 гг. планируется проведение капитального ремонта общего имущества в многоквартирных домах, с разбивкой по источникам финансирования</t>
  </si>
  <si>
    <t>№ п/п</t>
  </si>
  <si>
    <t>Наименование муниципального образования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</si>
  <si>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</si>
  <si>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</si>
  <si>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</si>
  <si>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</si>
  <si>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</si>
  <si>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</si>
  <si>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в МКД</t>
  </si>
  <si>
    <t>Количество жителей</t>
  </si>
  <si>
    <t>Стоимость капитального ремонта с разбивкой по источникам финансирования</t>
  </si>
  <si>
    <t>Удельная стоимость капитального ремонта 1 кв.м. общей площади помещений МКД</t>
  </si>
  <si>
    <t>Предельная стоимость капитального ремонта 1 кв.м. общей площади помещений МКД</t>
  </si>
  <si>
    <t>Сроки проведения работ по капитальному ремонту</t>
  </si>
  <si>
    <t>Стоимость капитального ремонта, всего</t>
  </si>
  <si>
    <t>Виды работ, установленные ч.1 ст.19 Закона Республики Саха (Якутия) от 24.6.213 года 121-З №1329-IV "Об организации проведения капитального ремонта общего имущества в многоквартирных домах на территории Республики Саха (Якутия)"</t>
  </si>
  <si>
    <t>Виды работ, установленные ч. 1 и 2 ст. 19 Закона Республики Саха (Якутия) от 24.06.2013 1201-З № 1329-IV "Об организации проведения капитального ремонта общего имущества в многоквартирных домах на территории Республики Саха (Якутия)"</t>
  </si>
  <si>
    <t>Ввода в эксплуатацию</t>
  </si>
  <si>
    <t>Завершения последнего капитального ремонта</t>
  </si>
  <si>
    <t>в том числе жилых помещений (квартир)</t>
  </si>
  <si>
    <t>в том числе нежилых помещений</t>
  </si>
  <si>
    <t>Всего</t>
  </si>
  <si>
    <t>в том числе</t>
  </si>
  <si>
    <t xml:space="preserve">Ремонт внутридомовых инженерных систем
</t>
  </si>
  <si>
    <t>Ремонт, замена, модернизация лифтов, ремонт лифтовых шахт, машинных и блочных помещений</t>
  </si>
  <si>
    <t>Ремонт крыши</t>
  </si>
  <si>
    <t xml:space="preserve">Ремонт подвальных помещений, относящихся к общему имуществу в многоквартирном доме
</t>
  </si>
  <si>
    <t xml:space="preserve">Утепление и ремонт фасада, стыков полносборных зданий, ремонт балконов, лоджий, входных крылец с установкой пандусов (при наличии технической возможности такой установки) и козырьков над входами в подъезды, ремонт или замена входных наружных дверей, окон и балконных дверей в местах общего пользования
</t>
  </si>
  <si>
    <t xml:space="preserve">Ремонт фундамента многоквартирного дома, цокольных балок и перекрытий, включая утепление цокольного перекрытия
</t>
  </si>
  <si>
    <t>Разработка проектной документациина проведение капитального ремонта</t>
  </si>
  <si>
    <t>Проведение экспертизы проектной документациина проведение капитального ремонта, 
проверки
достоверности
определения
сметной
стоимости</t>
  </si>
  <si>
    <t>Проведение
строительного
контроля
(технического
надзора)</t>
  </si>
  <si>
    <t xml:space="preserve">Утепление и ремонт фасада, стыков полносборных зданий, ремонт балконов, лоджий, входных крылец с ремонтом пандусов и козырьков над входами в подъезды, ремонт или замена входных наружных дверей, окон и балконных дверей в местах общего пользования
</t>
  </si>
  <si>
    <t>Разработка проектной документации на проведение капитального ремонта, обследование технического состояния многоквартирного дома</t>
  </si>
  <si>
    <t>За счет федеральных средств</t>
  </si>
  <si>
    <t>За счет средств государственного бюджета Республики Саха (Якутия)</t>
  </si>
  <si>
    <t>За счет средств местного бюджета</t>
  </si>
  <si>
    <t>За счет средств собственников помещений</t>
  </si>
  <si>
    <t>Заимствованные средства</t>
  </si>
  <si>
    <t>Иные источники</t>
  </si>
  <si>
    <t>Теплоснабжение</t>
  </si>
  <si>
    <t>Система водоснабжения</t>
  </si>
  <si>
    <t>Электроснабжение</t>
  </si>
  <si>
    <t>Водоотведение</t>
  </si>
  <si>
    <t>Газоснабжение</t>
  </si>
  <si>
    <t>Вентиляция</t>
  </si>
  <si>
    <t>установка автоматизированных информационно-измерительных систем учета потребления коммунальных ресурсов и коммунальных услуг, установка коллективных (общедомовых) приборов учета потребления ресурсов, необходимых для предоставления коммунальных услуг, и узлов управления и регулирования потребления этих ресурсов</t>
  </si>
  <si>
    <t>СС</t>
  </si>
  <si>
    <t>ССг*0,8</t>
  </si>
  <si>
    <t>ЗС</t>
  </si>
  <si>
    <t>Водоснабжение</t>
  </si>
  <si>
    <t>кв.м</t>
  </si>
  <si>
    <t>чел</t>
  </si>
  <si>
    <t>руб</t>
  </si>
  <si>
    <t>руб/кв.м</t>
  </si>
  <si>
    <t>2022-2024 г.г.</t>
  </si>
  <si>
    <t>2022 год</t>
  </si>
  <si>
    <t>Кредиторская задолженность за 2021 год</t>
  </si>
  <si>
    <t>Авансы северным районам</t>
  </si>
  <si>
    <t>ГП "Поселок Золотинка"</t>
  </si>
  <si>
    <t>п Золотинка, п. Золотинка (г Нерюнгри), ул. Железнодорожная, д. 2</t>
  </si>
  <si>
    <t>Камень</t>
  </si>
  <si>
    <t>п Золотинка, п. Золотинка (г Нерюнгри), ул. Железнодорожная, д. 3</t>
  </si>
  <si>
    <t>п Золотинка, п. Золотинка (г Нерюнгри), ул. Железнодорожная, д. 4</t>
  </si>
  <si>
    <t>ГП "Поселок Серебряный Бор"</t>
  </si>
  <si>
    <t>п. Серебряный Бор, (г Нерюнгри), д. 120</t>
  </si>
  <si>
    <t>п. Серебряный Бор, (г Нерюнгри), д. 14</t>
  </si>
  <si>
    <t>п. Серебряный Бор, (г Нерюнгри), д. 208</t>
  </si>
  <si>
    <t>ГП "Поселок Чульман"</t>
  </si>
  <si>
    <t>п. Чульман (г Нерюнгри), ул. Островского, д. 18б</t>
  </si>
  <si>
    <t>п. Чульман (г Нерюнгри), ул. Островского, д. 12</t>
  </si>
  <si>
    <t>п. Чульман (г Нерюнгри), ул. Островского, д. 6 кор. а</t>
  </si>
  <si>
    <t>МО "Город Нерюнгри"</t>
  </si>
  <si>
    <t>г. Нерюнгри, пр-кт. Геологов, д. 43</t>
  </si>
  <si>
    <t>г. Нерюнгри, пр-кт. Геологов, д. 49 кор. 1</t>
  </si>
  <si>
    <t>МО "Город Нерюнгри" спецсчет</t>
  </si>
  <si>
    <t>г. Нерюнгри, пр-кт. Геологов, д. 81 кор. 2 СПЕЦСЧЕТ</t>
  </si>
  <si>
    <t>г. Нерюнгри, пр-кт. Дружбы Народов, д. 16 кор. 1</t>
  </si>
  <si>
    <t>г. Нерюнгри, пр-кт. Дружбы Народов, д. 20</t>
  </si>
  <si>
    <t>г. Нерюнгри, пр-кт. Дружбы Народов, д. 29 кор. 1</t>
  </si>
  <si>
    <t>г. Нерюнгри, пр-кт. Дружбы Народов, д. 3 кор. 1 СПЕЦСЧЕТ</t>
  </si>
  <si>
    <t>г. Нерюнгри, пр-кт. Ленина, д. 4</t>
  </si>
  <si>
    <t>г. Нерюнгри, пр-кт. Мира, д. 15</t>
  </si>
  <si>
    <t>г. Нерюнгри, пр-кт. Мира, д. 15 кор. 2</t>
  </si>
  <si>
    <t>г. Нерюнгри, пр-кт. Мира, д. 15 кор. 3</t>
  </si>
  <si>
    <t>г. Нерюнгри, пр-кт. Мира, д. 17 кор. 1</t>
  </si>
  <si>
    <t>г. Нерюнгри, пр-кт. Мира, д. 19 кор. 1</t>
  </si>
  <si>
    <t>г. Нерюнгри, пр-кт. Мира, д. 19 кор. 2</t>
  </si>
  <si>
    <t>г. Нерюнгри, пр-кт. Мира, д. 5 СПЕЦСЧЕТ</t>
  </si>
  <si>
    <t>г. Нерюнгри, ул. Аммосова, д. 10 кор. 1</t>
  </si>
  <si>
    <t>г. Нерюнгри, ул. Аммосова, д. 2 СПЕЦСЧЕТ</t>
  </si>
  <si>
    <t>г. Нерюнгри, ул. Аммосова, д. 6 кор. 1</t>
  </si>
  <si>
    <t>г. Нерюнгри, ул. им Кравченко, д. 20 кор. 1</t>
  </si>
  <si>
    <t>г. Нерюнгри, ул. им Кравченко, д. 4</t>
  </si>
  <si>
    <t>г. Нерюнгри, ул. им Кравченко, д. 6</t>
  </si>
  <si>
    <t>г. Нерюнгри, ул. им Кравченко, д. 8</t>
  </si>
  <si>
    <t>г. Нерюнгри, ул. им Кравченко, д. 12</t>
  </si>
  <si>
    <t>1982</t>
  </si>
  <si>
    <t>5</t>
  </si>
  <si>
    <t>2</t>
  </si>
  <si>
    <t>г. Нерюнгри, ул. Карла Маркса, д. 1 кор. 1</t>
  </si>
  <si>
    <t>г. Нерюнгри, ул. Сосновая, д. 4</t>
  </si>
  <si>
    <t>г. Нерюнгри, ул. Тимптонская, д. 3</t>
  </si>
  <si>
    <t>г. Нерюнгри, ул. Южно-Якутская, д. 32</t>
  </si>
  <si>
    <t>г. Нерюнгри, ул. Южно-Якутская, д. 43 кор. 1 СПЕЦСЧЕТ</t>
  </si>
  <si>
    <t>ГО "город Якутск"</t>
  </si>
  <si>
    <t>г. Якутск, мкр. Марха, кв-л. Мелиораторов, д. 9</t>
  </si>
  <si>
    <t>г. Якутск, мкр. Марха, ул. Есенина, д. 5 кор. 1</t>
  </si>
  <si>
    <t>г. Якутск, мкр. Марха, тракт Маганский 2 км, д. 3</t>
  </si>
  <si>
    <t>г. Якутск, мкр. Марха, ул. О.Кошевого, д. 67 кор. 1</t>
  </si>
  <si>
    <t>г. Якутск, мкр. Птицефабрика, д. 7</t>
  </si>
  <si>
    <t>г. Якутск, мкр. Марха, тракт Маганский 2 км, д. 2</t>
  </si>
  <si>
    <t>г. Якутск, с. Кильдямцы, ул. Уваровского, д. 1</t>
  </si>
  <si>
    <t>г. Якутск, с. Кильдямцы, ул. Труда, д. 52</t>
  </si>
  <si>
    <t>г. Якутск, с. Кильдямцы, ул. Труда, д. 54</t>
  </si>
  <si>
    <t>г. Якутск, пр-кт. Ленина, д. 11 кор. 2</t>
  </si>
  <si>
    <t>г. Якутск, пр-кт. Ленина, д. 7</t>
  </si>
  <si>
    <t>г. Якутск, пр-кт. Ленина, д. 9</t>
  </si>
  <si>
    <t>г. Якутск, пр-кт Ленина, д. 25</t>
  </si>
  <si>
    <t>1996</t>
  </si>
  <si>
    <t>9</t>
  </si>
  <si>
    <t>г. Якутск, пр-кт Ленина, д. 29</t>
  </si>
  <si>
    <t>8</t>
  </si>
  <si>
    <t>г. Якутск, пр-кт. Ленина, д. 37</t>
  </si>
  <si>
    <t>г. Якутск, пр-кт. Ленина, д. 38</t>
  </si>
  <si>
    <t>г. Якутск, пр-кт. Ленина, д. 44</t>
  </si>
  <si>
    <t>г. Якутск, ул. Автодорожная, д. 40 кор. 5</t>
  </si>
  <si>
    <t>г. Якутск, ул. Автодорожная, д. 40 кор. 6</t>
  </si>
  <si>
    <t>г. Якутск, ул. Автодорожная, д. 40 кор. 7</t>
  </si>
  <si>
    <t>г. Якутск, ул. Билибина, д. 12</t>
  </si>
  <si>
    <t>г. Якутск, ул. Богатырева, д. 11 кор. 1</t>
  </si>
  <si>
    <t>г. Якутск, ул. Дзержинского, д. 3</t>
  </si>
  <si>
    <t>г. Якутск, ул. Дзержинского, д. 8 кор. 2</t>
  </si>
  <si>
    <t>г. Якутск, ул. Каландаришвили, д. 25 кор. 2</t>
  </si>
  <si>
    <t>г. Якутск, ул. Каландаришвили, д. 38 кор. 2</t>
  </si>
  <si>
    <t>г. Якутск, ул. Каландаришвили, д. 38 кор. 3</t>
  </si>
  <si>
    <t>г. Якутск, ул. Каландаришвили, д. 40</t>
  </si>
  <si>
    <t>г. Якутск, ул. Каландаришвили, д. 40 кор. 1</t>
  </si>
  <si>
    <t>г. Якутск, ул. Каландаришвили, д. 40 кор. 4</t>
  </si>
  <si>
    <t>г. Якутск, ул. Каландаришвили, д. 40 кор. 7</t>
  </si>
  <si>
    <t>г. Якутск, ул. Каландаришвили, д. 40 кор. 8</t>
  </si>
  <si>
    <t>г. Якутск, ул. Кирова, д. 31 кор.1</t>
  </si>
  <si>
    <t>3</t>
  </si>
  <si>
    <t>г. Якутск, ул. Короленко, д. 17</t>
  </si>
  <si>
    <t>г. Якутск, ул. Крупской, д. 21</t>
  </si>
  <si>
    <t>г. Якутск, ул. Космонавтов, д. 17 кор. 1</t>
  </si>
  <si>
    <t>г. Якутск, ул. Кулаковского, д. 4 кор. 1</t>
  </si>
  <si>
    <t>г. Якутск, ул. Кулаковского, д. 4 кор. 2</t>
  </si>
  <si>
    <t>г. Якутск, ул. Кулаковского, д. 4 кор. 3</t>
  </si>
  <si>
    <t>СК за ГБ и ЗС, ПСД СС</t>
  </si>
  <si>
    <t>г. Якутск, ул. Курашова, д. 1 кор. 1</t>
  </si>
  <si>
    <t>г. Якутск, ул. Лермонтова, д. 24</t>
  </si>
  <si>
    <t>г. Якутск, ул. Можайского, д. 17 кор. 5</t>
  </si>
  <si>
    <t>г. Якутск, ул. Можайского, д. 17 кор. 6</t>
  </si>
  <si>
    <t>г. Якутск, ул. Можайского, д. 19 кор. 1</t>
  </si>
  <si>
    <t>г. Якутск, ул. Можайского, д. 21</t>
  </si>
  <si>
    <t>г. Якутск, ул. Можайского, д. 21 кор. 1</t>
  </si>
  <si>
    <t>г. Якутск, ул. Октябрьская, д. 26 кор. 1</t>
  </si>
  <si>
    <t>г. Якутск, ул. Октябрьская, д. 26 кор. 2</t>
  </si>
  <si>
    <t>г. Якутск, ул. Октябрьская, д. 26 кор. 3</t>
  </si>
  <si>
    <t>г. Якутск, ул. Октябрьская, д. 5</t>
  </si>
  <si>
    <t>г. Якутск, ул. Орджоникидзе, д. 33</t>
  </si>
  <si>
    <t>г. Якутск, ул. Орджоникидзе, д. 45</t>
  </si>
  <si>
    <t>г. Якутск, ул. Орджоникидзе, д. 46</t>
  </si>
  <si>
    <t>г. Якутск, ул. Петра Алексеева, д. 21 кор. 5</t>
  </si>
  <si>
    <t>г. Якутск, ул. Петра Алексеева, д. 49 кор. 1</t>
  </si>
  <si>
    <t>г. Якутск, ул. Петра Алексеева, д. 6 кор. 2</t>
  </si>
  <si>
    <t>г. Якутск, ул. Петра Алексеева, д. 8 кор. 1</t>
  </si>
  <si>
    <t>г. Якутск, ул. Петра Алексеева, д. 81 кор. 1</t>
  </si>
  <si>
    <t>г. Якутск, ул. Петра Алексеева, д. 83 кор. 18</t>
  </si>
  <si>
    <t>г. Якутск, ул. Петровского, д. 21 кор. 1</t>
  </si>
  <si>
    <t>г. Якутск, ул. Петровского, д. 23</t>
  </si>
  <si>
    <t>г. Якутск, ул. Петровского, д. 23 кор. 1</t>
  </si>
  <si>
    <t>г. Якутск, ул. Пояркова, д. 10</t>
  </si>
  <si>
    <t>г. Якутск, ул. Сосновая, д. 2</t>
  </si>
  <si>
    <t>г. Якутск, ул. Хабарова, д. 21</t>
  </si>
  <si>
    <t>г. Якутск, ул. Хабарова, д. 27</t>
  </si>
  <si>
    <t>г. Якутск, ул. Халтурина, д. 11 кор. 2</t>
  </si>
  <si>
    <t>ГО "Город Якутск"</t>
  </si>
  <si>
    <t>г. Якутск, ул. Чернышевского, д. 12 кор. 1</t>
  </si>
  <si>
    <t>1975</t>
  </si>
  <si>
    <t>4</t>
  </si>
  <si>
    <t>6</t>
  </si>
  <si>
    <t>г. Якутск, ул. Чернышевского, д. 4 кор. 1</t>
  </si>
  <si>
    <t>г. Якутск, ул. Чернышевского, д. 8</t>
  </si>
  <si>
    <t>г. Якутск, ул. Чернышевского, д. 8 кор. 1</t>
  </si>
  <si>
    <t>г. Якутск, ул. Чиряева, д. 4</t>
  </si>
  <si>
    <t>г. Якутск, ул. Чиряева, д. 8</t>
  </si>
  <si>
    <t>г. Якутск, ул. Ярославского, д. 11</t>
  </si>
  <si>
    <t>г. Якутск, ул. Ярославского, д. 24</t>
  </si>
  <si>
    <t>г. Якутск, ул. Ярославского, д. 30 кор. 1</t>
  </si>
  <si>
    <t>г. Якутск, ул. Ярославского, д. 5 кор. 1</t>
  </si>
  <si>
    <t>г. Якутск, ул. Ярославского, д. 7 кор. 1</t>
  </si>
  <si>
    <t>г. Якутск, ул. Ярославского, д. 9</t>
  </si>
  <si>
    <t>ГО "Жатай"</t>
  </si>
  <si>
    <t>ГО Жатай, п. Жатай, ул. Северная, д. 21/1</t>
  </si>
  <si>
    <t>ГО Жатай, п. Жатай, ул. Северная, д. 33</t>
  </si>
  <si>
    <t>ГО Жатай, п. Жатай, ул. Северная, д. 37</t>
  </si>
  <si>
    <t>проверить заимств Алексеева ЕИ</t>
  </si>
  <si>
    <t>ГО Жатай, п. Жатай, ул. Северная, д. 37/1</t>
  </si>
  <si>
    <t>ГО Жатай, п. Жатай, ул. Северная, д. 54</t>
  </si>
  <si>
    <t>МО "Город Томмот"</t>
  </si>
  <si>
    <t>Алданский у, г. Томмот, ул. Крупской, д. 6</t>
  </si>
  <si>
    <t>МО "Поселок Нижний Куранах"</t>
  </si>
  <si>
    <t>Алданский у, п. Нижний Куранах, ул. Строительная, д. 18</t>
  </si>
  <si>
    <t>Алданский у, п. Нижний Куранах, ул. Строительная, д. 2</t>
  </si>
  <si>
    <t>Алданский у, п. Нижний Куранах, ул. Строительная, д. 20</t>
  </si>
  <si>
    <t>Алданский у, п. Нижний Куранах, ул. Строительная, д. 21</t>
  </si>
  <si>
    <t>Алданский у, п. Нижний Куранах, ул. Строительная, д. 4</t>
  </si>
  <si>
    <t>МО "Поселок Зырянка"</t>
  </si>
  <si>
    <t>Верхнеколымский у, п. Зырянка, ул. Леликова, д. 8</t>
  </si>
  <si>
    <t>МО "Угольнинский наслег"</t>
  </si>
  <si>
    <t>Верхнеколымский у, Угольнинский н-г, с. Угольное, ул. Дорожная, д. 12</t>
  </si>
  <si>
    <t>Верхнеколымский у, Угольнинский н-г, с. Угольное, ул. Дорожная, д. 9</t>
  </si>
  <si>
    <t>Проверить ЗС Алексеева ЕИ</t>
  </si>
  <si>
    <t>МО "Город Ленск"</t>
  </si>
  <si>
    <t>Ленский у, г. Ленск, ул. Дзержинского, д. 15</t>
  </si>
  <si>
    <t>Ленский у, г. Ленск, ул. Дзержинского, д. 27</t>
  </si>
  <si>
    <t>Ленский у, г. Ленск, ул. Ойунского, д. 26</t>
  </si>
  <si>
    <t>Ленский у, г. Ленск, ул. Победы, д. 22</t>
  </si>
  <si>
    <t>Ленский у, г. Ленск, ул. Пролетарская, д. 17</t>
  </si>
  <si>
    <t>МО "Город Мирный"</t>
  </si>
  <si>
    <t>Мирнинский у, г. Мирный, пр-кт. Ленинградский, д. 1 кор. 1</t>
  </si>
  <si>
    <t>проверить СС Алексеева ЕИ</t>
  </si>
  <si>
    <t>Мирнинский у, г. Мирный, ул. Комсомольская, д. 4 кор. а</t>
  </si>
  <si>
    <t>Мирнинский у, г. Мирный, ул. Ойунского, д. 13</t>
  </si>
  <si>
    <t>1</t>
  </si>
  <si>
    <t>Мирнинский у, г. Мирный, ул. Ойунского, д. 15</t>
  </si>
  <si>
    <t>Мирнинский у, г. Мирный, ул. Ойунского, д. 21</t>
  </si>
  <si>
    <t>1994</t>
  </si>
  <si>
    <t>Мирнинский у, г. Мирный, ул. Павлова, д. 10</t>
  </si>
  <si>
    <t>Мирнинский у, г. Мирный, ул. Советская, д. 13 кор. 1</t>
  </si>
  <si>
    <t>Мирнинский у, г. Мирный, ул. Советская, д. 15 кор. 1</t>
  </si>
  <si>
    <t>Мирнинский у, г. Мирный, ул. Советская, д. 19</t>
  </si>
  <si>
    <t>Мирнинский у, г. Мирный, ул. Советская, д. 7</t>
  </si>
  <si>
    <t>Мирнинский у, г. Мирный, ул. Солдатова, д. 6</t>
  </si>
  <si>
    <t>Мирнинский у, г. Мирный, ул. Солдатова, д. 3</t>
  </si>
  <si>
    <t>Мирнинский у, г. Мирный, ул. Тихонова, д. 12 кор. 2</t>
  </si>
  <si>
    <t>Мирнинский у, г. Мирный, ул. Тихонова, д. 8</t>
  </si>
  <si>
    <t>Мирнинский у, г. Мирный, ш. 50 лет Октября, д. 12 кор. 1</t>
  </si>
  <si>
    <t>Мирнинский у, г. Мирный, ш. 50 лет Октября, д. 7</t>
  </si>
  <si>
    <t>МО "Поселок Светлый"</t>
  </si>
  <si>
    <t>Мирнинский у, п. Светлый, ул. Вилюйская, д. 1</t>
  </si>
  <si>
    <t>Мирнинский у, п. Светлый, ул. Вилюйская, д. 2</t>
  </si>
  <si>
    <t>Мирнинский у, п. Светлый, ул. Советская, д. 2</t>
  </si>
  <si>
    <t>МО "Ленский наслег"</t>
  </si>
  <si>
    <t>Намский у, Ленский н-г, с. Намцы, ул. Ржевская, д. 5</t>
  </si>
  <si>
    <t>МО "поселок Черский"</t>
  </si>
  <si>
    <t>Нижнеколымский у, п. Черский, ул. Котельникова, д. 9</t>
  </si>
  <si>
    <t>Нижнеколымский у, п. Черский, ул. Таврата, д. 11</t>
  </si>
  <si>
    <t>Нижнеколымский у, п. Черский, ул. Молодежная, д. 6 кор. 2</t>
  </si>
  <si>
    <t>МО "Город Олекминск"</t>
  </si>
  <si>
    <t>Олекминский у, г. Олёкминск, ул. Калинина, д. 2</t>
  </si>
  <si>
    <t>МО "Поселок Хандыга"</t>
  </si>
  <si>
    <t>Томпонский у, п Хандыга, п. Хандыга, ул. Лесная, д. 16</t>
  </si>
  <si>
    <t>Томпонский у, п Хандыга, п. Хандыга, ул. П.Алексеева, д. 4</t>
  </si>
  <si>
    <t>Томпонский у, п Хандыга, п. Хандыга, ул. П.Алексеева, д. 6</t>
  </si>
  <si>
    <t>МО "Поселок Депутатский" спецсчет</t>
  </si>
  <si>
    <t>Усть-Янский у, п. Депутатский, мкр. Арктика, д. 11</t>
  </si>
  <si>
    <t>Усть-Янский у, п. Депутатский, мкр. Арктика, д. 13</t>
  </si>
  <si>
    <t>1990</t>
  </si>
  <si>
    <t>ПСД и СК за ГБ</t>
  </si>
  <si>
    <t>Усть-Янский у, п. Депутатский, мкр. Арктика, д. 15</t>
  </si>
  <si>
    <t>1992</t>
  </si>
  <si>
    <t>ПСД за ГБ</t>
  </si>
  <si>
    <t>Усть-Янский у, п. Депутатский, мкр. Арктика, д. 2</t>
  </si>
  <si>
    <t>Усть-Янский у, п. Депутатский, мкр. Арктика, д. 21</t>
  </si>
  <si>
    <t>1991</t>
  </si>
  <si>
    <t>Усть-Янский у, п. Депутатский, мкр. Арктика, д. 22</t>
  </si>
  <si>
    <t>Усть-Янский у, п. Депутатский, мкр. Арктика, д. 23</t>
  </si>
  <si>
    <t>Усть-Янский у, п. Депутатский, мкр. Арктика, д. 25</t>
  </si>
  <si>
    <t>Усть-Янский у, п. Депутатский, мкр. Арктика, д. 24</t>
  </si>
  <si>
    <t>Усть-Янский у, п. Депутатский, мкр. Арктика, д. 8</t>
  </si>
  <si>
    <t>МО "Город Покровск"</t>
  </si>
  <si>
    <t>Хангаласский у, г. Покровск, ул. Орджоникидзе, д. 18</t>
  </si>
  <si>
    <t>Хангаласский у, г. Покровск, ул. Орджоникидзе, д. 38</t>
  </si>
  <si>
    <t>МО "Поселок Мохсоголлох"</t>
  </si>
  <si>
    <t>Хангаласский у, п. Мохсоголлох, ул. Военный городок, д. 7</t>
  </si>
  <si>
    <t>Хангаласский у, п. Мохсоголлох, ул. Молодежная, д. 18</t>
  </si>
  <si>
    <t>Хангаласский у, п. Мохсоголлох, ул. Соколиная, д. 1</t>
  </si>
  <si>
    <t>Хангаласский у, п. Мохсоголлох, ул. Советская, д. 5</t>
  </si>
  <si>
    <t>Хангаласский у, п. Мохсоголлох, ул. Соколиная, д. 5</t>
  </si>
  <si>
    <t>Хангаласский у, п. Мохсоголлох, ул. Соколиная, д. 7</t>
  </si>
  <si>
    <t>Хангаласский у, п. Мохсоголлох, ул. Соколиная, д. 8</t>
  </si>
  <si>
    <t>Хангаласский у, п. Мохсоголлох, ул. Соколиная, д. 10</t>
  </si>
  <si>
    <t>Хангаласский у, п. Мохсоголлох, ул. Соколиная, д. 17</t>
  </si>
  <si>
    <t>Хангаласский у, п. Мохсоголлох, ул. Соколиная, д. 19</t>
  </si>
  <si>
    <t>Хангаласский у, п. Мохсоголлох, ул. Соколиная, д. 20</t>
  </si>
  <si>
    <t>г. Якутск, ул. Стадухина, д. 84 кор. 1 ЧС</t>
  </si>
  <si>
    <t>все СС сделать!НЮИ</t>
  </si>
  <si>
    <t>МО "Мюрюнский наслег"</t>
  </si>
  <si>
    <t>Усть-Алданский у, Мюрюнский н-г, с. Борогонцы, ул. Ленина, д. 34 ЧС</t>
  </si>
  <si>
    <t>2011</t>
  </si>
  <si>
    <t>Усть-Алданский у, Мюрюнский н-г, с. Борогонцы, ул. Лонгинова, д. 37 кор.1 ЧС</t>
  </si>
  <si>
    <t>2013</t>
  </si>
  <si>
    <t>Финансово обеспеченные МКД</t>
  </si>
  <si>
    <t>ГП "Поселок Беркакит"</t>
  </si>
  <si>
    <t>п. Беркакит (г Нерюнгри), ул. Бочкарева, д. 4 кор. 1</t>
  </si>
  <si>
    <t>п. Беркакит (г Нерюнгри), ул. Бочкарева, д. 4 кор. 2</t>
  </si>
  <si>
    <t>п. Беркакит (г Нерюнгри), ул. Дорожников, д. 4</t>
  </si>
  <si>
    <t>1981</t>
  </si>
  <si>
    <t>1983</t>
  </si>
  <si>
    <t>п. Чульман (г Нерюнгри), ул. Школьная, д. 12</t>
  </si>
  <si>
    <t>г. Нерюнгри, пр-кт. Дружбы Народов, д. 8 кор. 1</t>
  </si>
  <si>
    <t>г. Нерюнгри, пр-кт. Ленина, д. 1</t>
  </si>
  <si>
    <t>г. Нерюнгри, пр-кт. Мира, д. 21 кор. 1</t>
  </si>
  <si>
    <t>г. Нерюнгри, ул. Тимптонская, д. 7 кор. 1</t>
  </si>
  <si>
    <t>г. Нерюнгри, ул. Тимптонская, д. 7 кор. 2</t>
  </si>
  <si>
    <t>г. Нерюнгри, ул. Чурапчинская, д. 8 кор. 1</t>
  </si>
  <si>
    <t>г. Нерюнгри, ул. Чурапчинская, д. 36</t>
  </si>
  <si>
    <t>г. Нерюнгри, ул. Чурапчинская, д. 38</t>
  </si>
  <si>
    <t>г. Нерюнгри, ул. Чурапчинская, д. 40</t>
  </si>
  <si>
    <t>г. Нерюнгри, ул. Чурапчинская, д. 50</t>
  </si>
  <si>
    <t>г. Нерюнгри, ул. Южно-Якутская, д. 30</t>
  </si>
  <si>
    <t>г. Нерюнгри, ул. Южно-Якутская, д. 34</t>
  </si>
  <si>
    <t>г. Якутск, мкр. Кангалассы, ул. Комсомольская, д. 3А</t>
  </si>
  <si>
    <t>г. Якутск, с. Маган, ул. 40 лет Победы, д. 60</t>
  </si>
  <si>
    <t>г. Якутск, с. Хатассы, ул. Каландарашвили, д. 4</t>
  </si>
  <si>
    <t>г. Якутск, с. Хатассы, ул. Каландарашвили, д. 4 кор. 1</t>
  </si>
  <si>
    <t>г. Якутск, с. Хатассы, ул. Ленина, д. 67</t>
  </si>
  <si>
    <t>г. Якутск, с. Хатассы, ул. Ленина, д. 67 кор. 1</t>
  </si>
  <si>
    <t>г. Якутск, мкр. 202-й, д. 16</t>
  </si>
  <si>
    <t>1997</t>
  </si>
  <si>
    <t>г. Якутск, мкр. 202-й, д. 19</t>
  </si>
  <si>
    <t>г. Якутск, пр-кт. Ленина, д. 11</t>
  </si>
  <si>
    <t>г. Якутск, пр-кт. Ленина, д. 21</t>
  </si>
  <si>
    <t>г. Якутск, пр-кт. Ленина, д. 36</t>
  </si>
  <si>
    <t>г. Якутск, ул. Автодорожная, д. 28 кор. 15</t>
  </si>
  <si>
    <t>г. Якутск, ул. Билибина, д. 50</t>
  </si>
  <si>
    <t>г. Якутск, ул. Дзержинского, д. 13 кор. 1</t>
  </si>
  <si>
    <t>г. Якутск, ул. Дзержинского, д. 16</t>
  </si>
  <si>
    <t>1963</t>
  </si>
  <si>
    <t>г. Якутск, ул. Дзержинского, д. 19</t>
  </si>
  <si>
    <t>г. Якутск, ул. Дзержинского, д. 22 кор. 6</t>
  </si>
  <si>
    <t>г. Якутск, ул. Дзержинского, д. 40 кор. 1</t>
  </si>
  <si>
    <t>1973</t>
  </si>
  <si>
    <t>г. Якутск, ул. Дзержинского, д. 7</t>
  </si>
  <si>
    <t>1971</t>
  </si>
  <si>
    <t>г. Якутск, ул. Дзержинского, д. 7 кор. 1</t>
  </si>
  <si>
    <t>1562814,89 изм ГБ</t>
  </si>
  <si>
    <t>г. Якутск, ул. Дзержинского, д. 8 кор. 3</t>
  </si>
  <si>
    <t>г. Якутск, ул. Каландаришвили, д. 25 кор. 6</t>
  </si>
  <si>
    <t>г. Якутск, ул. Каландаришвили, д. 40 кор. 5</t>
  </si>
  <si>
    <t>г. Якутск, ул. Каландаришвили, д. 40 кор. 6</t>
  </si>
  <si>
    <t>г. Якутск, ул. Кальвица, д. 5</t>
  </si>
  <si>
    <t>г. Якутск, ул. Кирова, д. 34</t>
  </si>
  <si>
    <t>г. Якутск, ул. Кузьмина, д. 34</t>
  </si>
  <si>
    <t>г. Якутск, ул. Лермонтова, д. 20</t>
  </si>
  <si>
    <t>г. Якутск, ул. Лермонтова, д. 22</t>
  </si>
  <si>
    <t>г. Якутск, ул. Лермонтова, д. 27 кор. 1</t>
  </si>
  <si>
    <t>г. Якутск, ул. Лермонтова, д. 29</t>
  </si>
  <si>
    <t>г. Якутск, ул. Можайского, д. 15</t>
  </si>
  <si>
    <t>г. Якутск, ул. Можайского, д. 17 кор. 1</t>
  </si>
  <si>
    <t>г. Якутск, ул. Можайского, д. 17 кор. 4</t>
  </si>
  <si>
    <t>г. Якутск, ул. Ново-Карьерная, д. 20 кор. 1</t>
  </si>
  <si>
    <t>г. Якутск, ул. Ойунского, д. 41</t>
  </si>
  <si>
    <t>г. Якутск, ул. Орджоникидзе, д. 39</t>
  </si>
  <si>
    <t>1970</t>
  </si>
  <si>
    <t>г. Якутск, ул. Орджоникидзе, д. 7 кор. 2</t>
  </si>
  <si>
    <t>г. Якутск, ул. Петра Алексеева, д. 12</t>
  </si>
  <si>
    <t>г. Якутск, ул. Петра Алексеева, д. 12 кор. 1</t>
  </si>
  <si>
    <t>г. Якутск, ул. Петра Алексеева, д. 12 кор. 2</t>
  </si>
  <si>
    <t>г. Якутск, ул. Петра Алексеева, д. 4 кор. 1</t>
  </si>
  <si>
    <t>г. Якутск, ул. Петра Алексеева, д. 4 кор. 2</t>
  </si>
  <si>
    <t>г. Якутск, ул. Петра Алексеева, д. 4 кор. 3</t>
  </si>
  <si>
    <t>г. Якутск, ул. Петра Алексеева, д. 8</t>
  </si>
  <si>
    <t>г. Якутск, ул. Пояркова, д. 8</t>
  </si>
  <si>
    <t>1976</t>
  </si>
  <si>
    <t>г. Якутск, ул. Семена Данилова, д. 4 кор. 2</t>
  </si>
  <si>
    <t>г. Якутск, ул. Стадухина, д. 80</t>
  </si>
  <si>
    <t>г. Якутск, ул. Федора Попова, д. 14 кор. 1</t>
  </si>
  <si>
    <t>г. Якутск, ул. Хабарова, д. 3</t>
  </si>
  <si>
    <t>г. Якутск, ул. Хабарова, д. 9</t>
  </si>
  <si>
    <t>г. Якутск, ул. Хабарова, д. 19</t>
  </si>
  <si>
    <t>1974</t>
  </si>
  <si>
    <t>г. Якутск, ул. Хабарова, д. 27 кор.3</t>
  </si>
  <si>
    <t>г. Якутск, ул. Халтурина, д. 6</t>
  </si>
  <si>
    <t>г. Якутск, ул. Чернышевского, д. 8 корп.1</t>
  </si>
  <si>
    <t>г. Якутск, ул. Чернышевского, д. 12</t>
  </si>
  <si>
    <t>г. Якутск, ул. Чернышевского, д. 12 кор.1</t>
  </si>
  <si>
    <t>г. Якутск, ул. Чиряева, д. 1</t>
  </si>
  <si>
    <t>г. Якутск, ул. Ярославского, д. 4</t>
  </si>
  <si>
    <t>г. Якутск, ул. Ярославского, д. 7</t>
  </si>
  <si>
    <t>г. Якутск, ул. Ярославского, д. 13</t>
  </si>
  <si>
    <t>г. Якутск, ул. Ярославского, д. 19 кор. 1</t>
  </si>
  <si>
    <t>г. Якутск, ул. Ярославского, д. 32</t>
  </si>
  <si>
    <t>МО "Город Алдан"</t>
  </si>
  <si>
    <t>Алданский у, г. Алдан, ул. Алданская, д. 13</t>
  </si>
  <si>
    <t>Алданский у, г. Алдан, ул. Алданская, д. 20</t>
  </si>
  <si>
    <t>Алданский у, г. Алдан, ул. Гагарина, д. 5</t>
  </si>
  <si>
    <t>1964</t>
  </si>
  <si>
    <t>Алданский у, г. Томмот, ул. Нагорная, д. 19</t>
  </si>
  <si>
    <t>Алданский у, п. Нижний Куранах, мкр. 1-й, д. 10</t>
  </si>
  <si>
    <t>Алданский у, п. Нижний Куранах, ул. Строительная, д. 1-в</t>
  </si>
  <si>
    <t>МО "Поселок Тикси"</t>
  </si>
  <si>
    <t>Булунский у, п. Тикси, ул. Ленинская, д. 17</t>
  </si>
  <si>
    <t>Булунский у, п. Тикси, ул. Трусова, д. 2</t>
  </si>
  <si>
    <t>Верхнеколымский у, п. Зырянка, ул. Леликова, д. 8*</t>
  </si>
  <si>
    <t>Верхнеколымский у, Угольнинский н-г, с. Угольное, ул. Дорожная, д. 12*</t>
  </si>
  <si>
    <t>Ленский у, г. Ленск, ул. Дзержинского, д. 19</t>
  </si>
  <si>
    <t>Ленский у, г. Ленск, ул. Дзержинского, д. 25</t>
  </si>
  <si>
    <t>Ленский у, г. Ленск, ул. Ленина, д. 66</t>
  </si>
  <si>
    <t>Ленский у, г. Ленск, ул. Ленина, д. 71</t>
  </si>
  <si>
    <t>Ленский у, г. Ленск, ул. Ленина, д. 73</t>
  </si>
  <si>
    <t>Ленский у, г. Ленск, ул. Ойунского, д. 23 кор.А</t>
  </si>
  <si>
    <t>перенос на 2023</t>
  </si>
  <si>
    <t>Ленский у, г. Ленск, ул. Ойунского, д. 28</t>
  </si>
  <si>
    <t>Ленский у, г. Ленск, ул. Орджоникидзе, д. 18</t>
  </si>
  <si>
    <t>Ленский у, г. Ленск, ул. Орджоникидзе, д. 20</t>
  </si>
  <si>
    <t>Ленский у, г. Ленск, ул. Первомайская, д. 10</t>
  </si>
  <si>
    <t>Ленский у, г. Ленск, ул. Первомайская, д. 18</t>
  </si>
  <si>
    <t>Ленский у, г. Ленск, ул. Первомайская, д. 20</t>
  </si>
  <si>
    <t>Ленский у, г. Ленск, ул. Пролетарская, д. 3</t>
  </si>
  <si>
    <t>Ленский у, г. Ленск, ул. Пролетарская, д. 5</t>
  </si>
  <si>
    <t>Мирнинский у, г. Мирный, ул. Аммосова, д. 100</t>
  </si>
  <si>
    <t>Мирнинский у, г. Мирный, ул. Советская, д. 13 кор. 4</t>
  </si>
  <si>
    <t>Мирнинский у, г. Мирный, ул. Солдатова, д. 12</t>
  </si>
  <si>
    <t>Мирнинский у, п. Светлый, ул. Молодежная, д. 11</t>
  </si>
  <si>
    <t>МО "Город Нюрба"</t>
  </si>
  <si>
    <t>Нюрбинский у, г. Нюрба, кв-л. Энергетик, д. 71</t>
  </si>
  <si>
    <t>МО "Поселок Усть-Нера"</t>
  </si>
  <si>
    <t>Оймяконский у, п Усть-Нера, ул. Андрианова, д. 2</t>
  </si>
  <si>
    <t>1989</t>
  </si>
  <si>
    <t>Оймяконский у, п Усть-Нера, ул. Андрианова, д. 6</t>
  </si>
  <si>
    <t>Оймяконский у, п Усть-Нера, ул. Ленина, д. 27</t>
  </si>
  <si>
    <t>Оймяконский у, п Усть-Нера, ул. Мацкепладзе, д. 20</t>
  </si>
  <si>
    <t>1987</t>
  </si>
  <si>
    <t>Оймяконский у, п Усть-Нера, ул. Молодежная, д. 2</t>
  </si>
  <si>
    <t>1988</t>
  </si>
  <si>
    <t>Оймяконский у, п Усть-Нера, ул. Молодежная, д. 3</t>
  </si>
  <si>
    <t>1985</t>
  </si>
  <si>
    <t>Томпонский у, п Хандыга, п. Хандыга, ул. Геолога Кудрявого, д. 32</t>
  </si>
  <si>
    <t>Томпонский у, п Хандыга, п. Хандыга, ул. Магаданская, д. 30</t>
  </si>
  <si>
    <t>Томпонский у, п Хандыга, п. Хандыга, ул. П.Алексеева, д. 2</t>
  </si>
  <si>
    <t>МО "Поселок Эльдикан"</t>
  </si>
  <si>
    <t>Усть-Майский у, п. Эльдикан, ул. Победы, д. 1</t>
  </si>
  <si>
    <t>Дерево</t>
  </si>
  <si>
    <t>Хангаласский у, г. Покровск, ул. Братьев Ксенофонтовых, д. 10</t>
  </si>
  <si>
    <t>ГП "Город Покровск"</t>
  </si>
  <si>
    <t>Хангаласский у, г. Покровск, ул. Орджоникидзе, д. 22</t>
  </si>
  <si>
    <t>Хангаласский у, г. Покровск, ул. Таежная, д. 2</t>
  </si>
  <si>
    <t>Хангаласский у, г. Покровск, ул. Таежная, д. 3</t>
  </si>
  <si>
    <t>Хангаласский у, г. Покровск, ул. Таежная, д. 5</t>
  </si>
  <si>
    <t>Хангаласский у, п. Мохсоголлох, ул. Соколиная, д. 13</t>
  </si>
  <si>
    <t>СП "Немюгюнский наслег"</t>
  </si>
  <si>
    <t>Хангаласский у, Немюгинский н-г, с. Ой, ул. Горького, д. 22</t>
  </si>
  <si>
    <t>1986</t>
  </si>
  <si>
    <t>г. Якутск, ул. Сергеляхское ш. 12 км., д. 9 ЧС</t>
  </si>
  <si>
    <t>2016</t>
  </si>
  <si>
    <t>г. Якутск, пр-кт. Ленина, д. 25 ЧС</t>
  </si>
  <si>
    <t>г. Якутск, ул. Кузьмина, д. 29, кор. 4 ЧС</t>
  </si>
  <si>
    <t>Финансово необеспеченные МКД</t>
  </si>
  <si>
    <t>*</t>
  </si>
  <si>
    <t>п. Чульман (г Нерюнгри), ул. Новая, д. 2</t>
  </si>
  <si>
    <t>п. Чульман (г Нерюнгри), ул. Первомайская, д. 11</t>
  </si>
  <si>
    <t>г. Нерюнгри, пр-кт. Дружбы Народов, д. 5</t>
  </si>
  <si>
    <t>г. Нерюнгри, пр-кт. Дружбы Народов, д. 10 кор. 1</t>
  </si>
  <si>
    <t>г. Нерюнгри, пр-кт. Дружбы Народов, д. 29 кор. 2</t>
  </si>
  <si>
    <t>г. Нерюнгри, пр-кт. Мира, д. 31</t>
  </si>
  <si>
    <t>г. Нерюнгри, ул. Аммосова, д. 12</t>
  </si>
  <si>
    <t>г. Нерюнгри, ул. Карла Маркса, д. 25</t>
  </si>
  <si>
    <t>г. Нерюнгри, ул. Карла Маркса, д. 27</t>
  </si>
  <si>
    <t>г. Нерюнгри, ул. Лужников, д. 3</t>
  </si>
  <si>
    <t>г. Нерюнгри, ул. Лужников, д. 3 кор. 1</t>
  </si>
  <si>
    <t>г. Нерюнгри, ул. Новостроевская, д. 3</t>
  </si>
  <si>
    <t>г. Нерюнгри, ул. Тимптонская, д. 1</t>
  </si>
  <si>
    <t>г. Нерюнгри, ул. Чурапчинская, д. 39</t>
  </si>
  <si>
    <t>г. Нерюнгри, ул. Южно-Якутская, д. 40</t>
  </si>
  <si>
    <t>г. Якутск, мкр. Кангалассы, ул. 26 партсъезда, д. 2</t>
  </si>
  <si>
    <t>г. Якутск, ул. Воинская, д. 9</t>
  </si>
  <si>
    <t>г. Якутск, ул. Горького, д. 94</t>
  </si>
  <si>
    <t>г. Якутск, ул. Лермонтова, д. 29 кор. 1</t>
  </si>
  <si>
    <t>г. Якутск, ул. Октябрьская, д. 18</t>
  </si>
  <si>
    <t>г. Якутск, ул. Орджоникидзе, д. 46 кор. 1</t>
  </si>
  <si>
    <t>г. Якутск, ул. Хабарова, д. 7</t>
  </si>
  <si>
    <t>Алданский у, г. Алдан, ул. Гагарина, д. 13</t>
  </si>
  <si>
    <t>1967</t>
  </si>
  <si>
    <t>Алданский у, г. Алдан, ул. Гагарина, д. 15</t>
  </si>
  <si>
    <t>Алданский у, г. Алдан, ул. Гагарина, д. 19</t>
  </si>
  <si>
    <t>1969</t>
  </si>
  <si>
    <t>Алданский у, г. Алдан, ул. Гагарина, д. 21</t>
  </si>
  <si>
    <t>Алданский у, г. Алдан, ул. Гагарина, д. 23</t>
  </si>
  <si>
    <t>1968</t>
  </si>
  <si>
    <t>Алданский у, г. Алдан, ул. Стрельцова, д. 2</t>
  </si>
  <si>
    <t>Алданский у, г. Томмот, ул. Крупской, д. 8</t>
  </si>
  <si>
    <t>Алданский у, г. Томмот, ул. Нагорная, д. 15</t>
  </si>
  <si>
    <t>Алданский у, п. Нижний Куранах, ул. Строительная, д. 6</t>
  </si>
  <si>
    <t>Алданский у, п. Нижний Куранах, ул. Строительная, д. 7</t>
  </si>
  <si>
    <t>Булунский у, п. Тикси, ул. 50 лет Севморпути, д. 6</t>
  </si>
  <si>
    <t>Булунский у, п. Тикси, ул. Ленинская, д. 27</t>
  </si>
  <si>
    <t>Булунский у, п. Тикси, ул. Трусова, д. 2а</t>
  </si>
  <si>
    <t>Мирнинский у, г. Мирный, ул. Ленина, д. 22 кор.А</t>
  </si>
  <si>
    <t>Мирнинский у, г. Мирный, ул. Московская, д. 12</t>
  </si>
  <si>
    <t>Мирнинский у, г. Мирный, ул. Тихонова, д. 12</t>
  </si>
  <si>
    <t>Нижнеколымский у, п. Черский, ул. Пушкина, д. 9</t>
  </si>
  <si>
    <t>Нижнеколымский у, п. Черский, ул. Таврата, д. 12</t>
  </si>
  <si>
    <t>Нижнеколымский у, п. Черский, ул. Таврата, д. 13</t>
  </si>
  <si>
    <t>Нижнеколымский у, п. Черский, ул. Таврата, д. 15</t>
  </si>
  <si>
    <t>Нюрбинский у, г. Нюрба, кв-л. Энергетик, д. 67</t>
  </si>
  <si>
    <t>Нюрбинский у, г. Нюрба, кв-л. Энергетик, д. 9</t>
  </si>
  <si>
    <t>Хангаласский у, г. Покровск, ул. Орджоникидзе, д. 20</t>
  </si>
  <si>
    <t>Хангаласский у, п. Мохсоголлох, ул. Соколиная, д. 9</t>
  </si>
  <si>
    <t>п. Беркакит (г Нерюнгри), ул. Башарина, д. 3</t>
  </si>
  <si>
    <t>1999</t>
  </si>
  <si>
    <t>п. Беркакит (г Нерюнгри), ул. Бочкарева, д. 6</t>
  </si>
  <si>
    <t>п. Беркакит (г Нерюнгри), ул. Бочкарева, д. 7</t>
  </si>
  <si>
    <t>п. Беркакит (г Нерюнгри), ул. Мусы Джалиля, д. 3</t>
  </si>
  <si>
    <t>1978</t>
  </si>
  <si>
    <t>п. Беркакит (г Нерюнгри), ул. Мусы Джалиля, д. 5</t>
  </si>
  <si>
    <t>1979</t>
  </si>
  <si>
    <t>п. Беркакит (г Нерюнгри), ул. Школьная, д. 7</t>
  </si>
  <si>
    <t>1980</t>
  </si>
  <si>
    <t>п Золотинка, п. Золотинка (г Нерюнгри), ул. Железнодорожная, д. 1</t>
  </si>
  <si>
    <t>ГП "Поселок Чульман" спецсчет</t>
  </si>
  <si>
    <t>п. Чульман (г Нерюнгри), ул. Советская, д. 79 СПЕЦСЧЕТ</t>
  </si>
  <si>
    <t>ГП "Поселок Хани""</t>
  </si>
  <si>
    <t>п. Хани (г Нерюнгри), ул. 70 лет Октября, д. 1</t>
  </si>
  <si>
    <t>п. Хани (г Нерюнгри), ул. 70 лет Октября, д. 2</t>
  </si>
  <si>
    <t>п. Хани (г Нерюнгри), ул. 70 лет Октября, д. 3</t>
  </si>
  <si>
    <t>п. Хани (г Нерюнгри), ул. 70 лет Октября, д. 4</t>
  </si>
  <si>
    <t>п. Хани (г Нерюнгри), ул. 70 лет Октября, д. 5</t>
  </si>
  <si>
    <t>п. Хани (г Нерюнгри), ул. 70 лет Октября, д. 6</t>
  </si>
  <si>
    <t>1993</t>
  </si>
  <si>
    <t>г. Нерюнгри, пр-кт. Геологов, д. 55 кор. 2</t>
  </si>
  <si>
    <t>г. Нерюнгри, пр-кт. Геологов, д. 59</t>
  </si>
  <si>
    <t>г. Нерюнгри, пр-кт. Геологов, д. 61</t>
  </si>
  <si>
    <t>г. Нерюнгри, пр-кт. Геологов, д. 61 кор. 2</t>
  </si>
  <si>
    <t>г. Нерюнгри, пр-кт. Геологов, д. 75 кор. 2</t>
  </si>
  <si>
    <t>г. Нерюнгри, пр-кт. Дружбы Народов, д. 8</t>
  </si>
  <si>
    <t>г. Нерюнгри, пр-кт. Дружбы Народов, д. 9</t>
  </si>
  <si>
    <t>г. Нерюнгри, пр-кт. Дружбы Народов, д. 10</t>
  </si>
  <si>
    <t>г. Нерюнгри, пр-кт. Дружбы Народов, д. 10 кор. 2</t>
  </si>
  <si>
    <t>г. Нерюнгри, пр-кт. Дружбы Народов, д. 14 кор. 1</t>
  </si>
  <si>
    <t>г. Нерюнгри, пр-кт. Дружбы Народов, д. 17</t>
  </si>
  <si>
    <t>г. Нерюнгри, пр-кт. Дружбы Народов, д. 20 кор. 1</t>
  </si>
  <si>
    <t>г. Нерюнгри, пр-кт. Дружбы Народов, д. 25 кор. 2</t>
  </si>
  <si>
    <t>г. Нерюнгри, пр-кт. Дружбы Народов, д. 27 кор. 2</t>
  </si>
  <si>
    <t>г. Нерюнгри, пр-кт. Дружбы Народов, д. 29</t>
  </si>
  <si>
    <t>г. Нерюнгри, пр-кт. Дружбы Народов, д. 29 кор. 3</t>
  </si>
  <si>
    <t>г. Нерюнгри, пр-кт. Дружбы Народов, д. 33</t>
  </si>
  <si>
    <t>г. Нерюнгри, пр-кт. Ленина, д. 7</t>
  </si>
  <si>
    <t>г. Нерюнгри, пр-кт. Ленина, д. 15</t>
  </si>
  <si>
    <t>г. Нерюнгри, пр-кт. Ленина, д. 16 кор. 2</t>
  </si>
  <si>
    <t>г. Нерюнгри, пр-кт. Ленина, д. 21 кор. 1 СПЕЦСЧЕТ</t>
  </si>
  <si>
    <t>г. Нерюнгри, пр-кт. Ленина, д. 25 кор. 1 СПЕЦСЧЕТ</t>
  </si>
  <si>
    <t>г. Нерюнгри, пр-кт. Мира, д. 3</t>
  </si>
  <si>
    <t>г. Нерюнгри, пр-кт. Мира, д. 3 кор. 1</t>
  </si>
  <si>
    <t>г. Нерюнгри, пр-кт. Мира, д. 21 кор. 2</t>
  </si>
  <si>
    <t>г. Нерюнгри, пр-кт. Мира, д. 25 кор. 1</t>
  </si>
  <si>
    <t>МО "Город Нерюнгри" спецчсет</t>
  </si>
  <si>
    <t>г. Нерюнгри, ул. Аммосова, д. 10 СПЕЦСЧЕТ</t>
  </si>
  <si>
    <t>г. Нерюнгри, ул. Аммосова, д. 14</t>
  </si>
  <si>
    <t>г. Нерюнгри, ул. Аммосова, д. 14 кор. 1</t>
  </si>
  <si>
    <t>г. Нерюнгри, ул. Аммосова, д. 4</t>
  </si>
  <si>
    <t>г. Нерюнгри, ул. Аммосова, д. 8 кор. 2 СПЕЦСЧЕТ</t>
  </si>
  <si>
    <t>г. Нерюнгри, ул. им Кравченко, д. 3</t>
  </si>
  <si>
    <t>г. Нерюнгри, ул. им Кравченко, д. 9 кор. 1</t>
  </si>
  <si>
    <t>г. Нерюнгри, ул. им Кравченко, д. 17 кор. 2</t>
  </si>
  <si>
    <t>г. Нерюнгри, ул. им Кравченко, д. 18</t>
  </si>
  <si>
    <t>г. Нерюнгри, ул. им Кравченко, д. 19 кор. 3</t>
  </si>
  <si>
    <t>г. Нерюнгри, ул. им Кравченко, д. 25</t>
  </si>
  <si>
    <t>г. Нерюнгри, ул. Карла Маркса, д. 14 СПЕЦСЧЕТ</t>
  </si>
  <si>
    <t>г. Нерюнгри, ул. Карла Маркса, д. 16</t>
  </si>
  <si>
    <t>г. Нерюнгри, ул. Карла Маркса, д. 19 кор. 1</t>
  </si>
  <si>
    <t>г. Нерюнгри, ул. Карла Маркса, д. 20</t>
  </si>
  <si>
    <t>г. Нерюнгри, ул. Карла Маркса, д. 25 кор. 1</t>
  </si>
  <si>
    <t>г. Нерюнгри, ул. Карла Маркса, д. 27 кор. 2</t>
  </si>
  <si>
    <t>г. Нерюнгри, ул. Новостроевская, д. 5</t>
  </si>
  <si>
    <t>г. Нерюнгри, ул. Строителей, д. 3</t>
  </si>
  <si>
    <t>г. Нерюнгри, ул. Платона Ойунского, д. 2</t>
  </si>
  <si>
    <t>г. Нерюнгри, ул. Платона Ойунского, д. 3</t>
  </si>
  <si>
    <t>г. Нерюнгри, ул. Тимптонская, д. 3 кор. 1</t>
  </si>
  <si>
    <t>г. Нерюнгри, ул. Чурапчинская, д. 37 кор. 2</t>
  </si>
  <si>
    <t>г. Нерюнгри, ул. Чурапчинская, д. 46</t>
  </si>
  <si>
    <t>г. Нерюнгри, ул. Чурапчинская, д. 54</t>
  </si>
  <si>
    <t>г. Нерюнгри, ул. Южно-Якутская, д. 25 кор. 1</t>
  </si>
  <si>
    <t>г. Нерюнгри, ул. Южно-Якутская, д. 31</t>
  </si>
  <si>
    <t>г. Нерюнгри, ул. Южно-Якутская, д. 31 кор. 1</t>
  </si>
  <si>
    <t>ГП "Город Нерюнгри" спецсчет</t>
  </si>
  <si>
    <t>г. Нерюнгри, ул. Южно-Якутская, д. 35 СПЕЦСЧЕТ</t>
  </si>
  <si>
    <t>-</t>
  </si>
  <si>
    <t>г. Нерюнгри, ул. Южно-Якутская, д. 36 кор. 3</t>
  </si>
  <si>
    <t>г. Нерюнгри, ул. Южно-Якутская, д. 41 СПЕЦСЧЕТ</t>
  </si>
  <si>
    <t>г. Нерюнгри, ул. Южно-Якутская, д. 42</t>
  </si>
  <si>
    <t>г. Нерюнгри, ул. Южно-Якутская, д. 43 СПЕЦСЧЕТ</t>
  </si>
  <si>
    <t>п. Серебряный Бор, (г Нерюнгри), д. 118</t>
  </si>
  <si>
    <t>г. Якутск, мкр. 202-й, д. 18</t>
  </si>
  <si>
    <t>1998</t>
  </si>
  <si>
    <t>7</t>
  </si>
  <si>
    <t>г. Якутск, мкр. Кангалассы, ул. 26 партсъезда, д. 4</t>
  </si>
  <si>
    <t>г. Якутск, ул. Горького, д. 92</t>
  </si>
  <si>
    <t>г. Якутск, ул. Горького, д. 98</t>
  </si>
  <si>
    <t>г. Якутск, ул. Дзержинского, д. 8</t>
  </si>
  <si>
    <t>г. Якутск, ул. Дзержинского, д. 12 кор. 3</t>
  </si>
  <si>
    <t>г. Якутск, ул. Дзержинского, д. 15</t>
  </si>
  <si>
    <t>г. Якутск, ул. Дзержинского, д. 15 кор.1</t>
  </si>
  <si>
    <t>г. Якутск, ул. Дзержинского, д. 20 кор. 1</t>
  </si>
  <si>
    <t>г. Якутск, ул. Дзержинского, д. 20 кор. 2</t>
  </si>
  <si>
    <t>г. Якутск, ул. Дзержинского, д. 40</t>
  </si>
  <si>
    <r>
      <rPr>
        <sz val="11"/>
        <color theme="1"/>
        <rFont val="Times New Roman"/>
      </rPr>
      <t>г. Якутск, ул. Каландаришвили, д. 40 кор. 8</t>
    </r>
  </si>
  <si>
    <t>г. Якутск, ул. Короленко, д. 7</t>
  </si>
  <si>
    <t>г. Якутск, ул. Кузьмина, д. 10</t>
  </si>
  <si>
    <t>г. Якутск, ул. Кузьмина, д. 14</t>
  </si>
  <si>
    <t>г. Якутск, ул. Кузьмина, д. 16 кор. 1</t>
  </si>
  <si>
    <t>г. Якутск, ул. Кулаковского, д. 30</t>
  </si>
  <si>
    <t>г. Якутск, ул. Лермонтова, д. 58 кор. 2</t>
  </si>
  <si>
    <t>г. Якутск, ул. Лермонтова, д. 92 кор. 2</t>
  </si>
  <si>
    <t>г. Якутск, ул. Лермонтова, д. 94 кор.3</t>
  </si>
  <si>
    <t>г. Якутск, ул. Лермонтова, д. 138 кор.2</t>
  </si>
  <si>
    <t>г. Якутск, ул. Лермонтова, д. 138 кор.3</t>
  </si>
  <si>
    <t>г. Якутск, ул. Лермонтова, д. 138 кор.4</t>
  </si>
  <si>
    <t>г. Якутск, ул. Маяковского, д. 98</t>
  </si>
  <si>
    <t>г. Якутск, ул. Можайского, д. 19</t>
  </si>
  <si>
    <t>г. Якутск, ул. Можайского, д. 19 кор. 3</t>
  </si>
  <si>
    <t>г. Якутск, ул. Можайского, д. 19 кор. 4</t>
  </si>
  <si>
    <t>г. Якутск, ул. Ново-Карьерная, д. 20 кор. 2</t>
  </si>
  <si>
    <t>г. Якутск, ул. Ойунского, д. 20 кор. 1</t>
  </si>
  <si>
    <t>ГО "Город Якутск" спецсчет</t>
  </si>
  <si>
    <t>г. Якутск, ул. Ойунского, д. 25 СПЕЦСЧЕТ</t>
  </si>
  <si>
    <t>г. Якутск, ул. Орджоникидзе, д. 44</t>
  </si>
  <si>
    <t>г. Якутск, ул. Орджоникидзе, д. 44 кор. 1</t>
  </si>
  <si>
    <t>г. Якутск, ул. Петра Алексеева, д. 10</t>
  </si>
  <si>
    <t>проверить СС Алекесеева ЕИ</t>
  </si>
  <si>
    <t>г. Якутск, ул. Петра Алексеева, д. 73 кор. 2</t>
  </si>
  <si>
    <t>г. Якутск, ул. Стадухина, д. 86</t>
  </si>
  <si>
    <t>г. Якутск, ул. Федора Попова, д. 10 кор. 1</t>
  </si>
  <si>
    <t>г. Якутск, ул. Федора Попова, д. 14 кор. 4</t>
  </si>
  <si>
    <t>г. Якутск, ул. Федора Попова, д. 16 кор. 5 СПЕЦСЧЕТ</t>
  </si>
  <si>
    <t>г. Якутск, ул. Хабарова, д. 23 кор.1</t>
  </si>
  <si>
    <t>г. Якутск, ул. Хабарова, д. 27 кор.1</t>
  </si>
  <si>
    <t>1972</t>
  </si>
  <si>
    <t>г. Якутск, ул. Халтурина, д. 2</t>
  </si>
  <si>
    <t>1977</t>
  </si>
  <si>
    <t>г. Якутск, ул. Халтурина, д. 6 кор. 1</t>
  </si>
  <si>
    <t>ГО "город Якутск" спецсчет</t>
  </si>
  <si>
    <t>г. Якутск, ул. Чернышевского, д. 22 кор. 3 СПЕЦСЧЕТ</t>
  </si>
  <si>
    <t>г. Якутск, ул. Якова Потапова, д. 6</t>
  </si>
  <si>
    <t>г. Якутск, ул. Якова Потапова, д. 6 корп.1</t>
  </si>
  <si>
    <t>г. Якутск, ш. Сергеляхское 13 км, д. 1</t>
  </si>
  <si>
    <t>МО "Поселок Белая Гора"</t>
  </si>
  <si>
    <t>Абыйский у, п. Белая Гора, ул. Строителей, д. 11 кор.1</t>
  </si>
  <si>
    <t>Абыйский у, п. Белая Гора, ул. Строителей, д. 11 кор.2</t>
  </si>
  <si>
    <t>Абыйский у, п. Белая Гора, ул. Строителей, д. 14</t>
  </si>
  <si>
    <t>Алданский у, г. Алдан, ул. Пролетарская, д. 49</t>
  </si>
  <si>
    <t>Алданский у, г. Томмот, пер. Якутский, д. 13</t>
  </si>
  <si>
    <t>МО "Поселок Ленинский"</t>
  </si>
  <si>
    <t>Алданский у, п. Лебединый, ул. Карла Маркса, д. 20</t>
  </si>
  <si>
    <t>Алданский у, п. Лебединый, ул. Карла Маркса, д. 20 кор. А</t>
  </si>
  <si>
    <t>Алданский у, п. Лебединый, ул. Октябрьская, д. 36</t>
  </si>
  <si>
    <t>Алданский у, п. Ленинский, ул. Карла Маркса, д. 16</t>
  </si>
  <si>
    <t>Алданский у, п. Нижний Куранах, пер. Школьный, д. 4</t>
  </si>
  <si>
    <t>Алданский у, п. Нижний Куранах, пер. Школьный, д. 6</t>
  </si>
  <si>
    <t>Алданский у, п. Нижний Куранах, ул. Строительная, д. 9</t>
  </si>
  <si>
    <t>Алданский у, п. Нижний Куранах, ул. Строительная, д. 10</t>
  </si>
  <si>
    <t>Алданский у, п. Нижний Куранах, ул. Строительная, д. 12</t>
  </si>
  <si>
    <t>Алданский у, п. Нижний Куранах, ул. Строительная, д. 16</t>
  </si>
  <si>
    <t>Алданский у, п. Нижний Куранах, ул. Школьная, д. 15</t>
  </si>
  <si>
    <t>Алданский у, п. Нижний Куранах, ул. Школьная, д. 21</t>
  </si>
  <si>
    <t>Алданский у, п. Нижний Куранах, ул. Школьная, д. 23</t>
  </si>
  <si>
    <t>Булунский у, п. Тикси 3-й, ул. Полярной Авиации, д. 8</t>
  </si>
  <si>
    <t>Булунский у, п. Тикси, ул. Академика Федорова, д. 28а</t>
  </si>
  <si>
    <t>Булунский у, п. Тикси, ул. Академика Федорова, д. 38</t>
  </si>
  <si>
    <t>Булунский у, п. Тикси, ул. Гагарина, д. 3</t>
  </si>
  <si>
    <t>Булунский у, п. Тикси, ул. Гагарина, д. 8а</t>
  </si>
  <si>
    <t>Булунский у, п. Тикси, ул. Ленинская, д. 2а</t>
  </si>
  <si>
    <t>Булунский у, п. Тикси, ул. Ленинская, д. 21</t>
  </si>
  <si>
    <t>Булунский у, п. Тикси, ул. Морская, д. 18</t>
  </si>
  <si>
    <t>Булунский у, п. Тикси, ул. Морская, д. 32</t>
  </si>
  <si>
    <t>Булунский у, п. Тикси, ул. Морская, д. 33</t>
  </si>
  <si>
    <t>Булунский у, п. Тикси, ул. Морская, д. 33а</t>
  </si>
  <si>
    <t>Булунский у, п. Тикси, ул. Трусова, д. 3</t>
  </si>
  <si>
    <t>Булунский у, п. Тикси, ул. Трусова, д. 5</t>
  </si>
  <si>
    <t>Булунский у, п. Тикси, ул. Трусова, д. 9</t>
  </si>
  <si>
    <t>Булунский у, п. Тикси, ул. Трусова, д. 11</t>
  </si>
  <si>
    <t>Булунский у, п. Тикси, ул. Трусова, д. 14</t>
  </si>
  <si>
    <t>Верхнеколымский у, п. Зырянка, ул. Победы, д. 20</t>
  </si>
  <si>
    <t>Верхнеколымский у, п. Зырянка, ул. Прокопьева А.Е., д. 3</t>
  </si>
  <si>
    <t>2010</t>
  </si>
  <si>
    <t>Верхнеколымский у, п. Зырянка, ул. Стадухина, д. 7</t>
  </si>
  <si>
    <t>Ленский у, г. Ленск, ул. Дзержинского, д. 21</t>
  </si>
  <si>
    <t>Ленский у, г. Ленск, ул. Первомайская, д. 5</t>
  </si>
  <si>
    <t>Ленский у, г. Ленск, ул. Первомайская, д. 9</t>
  </si>
  <si>
    <t>Ленский у, г. Ленск, ул. Победы, д. 19 кор.А</t>
  </si>
  <si>
    <t>2008</t>
  </si>
  <si>
    <t>Ленский у, г. Ленск, ул. Портовская, д. 24</t>
  </si>
  <si>
    <t>Мирнинский у, г. Мирный, пр-кт. Ленинградский, д. 19</t>
  </si>
  <si>
    <t>Мирнинский у, г. Мирный, пр-кт. Ленинградский, д. 21 кор. 1</t>
  </si>
  <si>
    <t>Мирнинский у, г. Мирный, ул. Аммосова, д. 96 кор. 1</t>
  </si>
  <si>
    <t>Мирнинский у, г. Мирный, ул. Аммосова, д. 98 кор. 1</t>
  </si>
  <si>
    <t>Мирнинский у, г. Мирный, ул. Комсомольская, д. 25</t>
  </si>
  <si>
    <t>Мирнинский у, г. Мирный, ул. Комсомольская, д. 25 кор. а</t>
  </si>
  <si>
    <t>Мирнинский у, г. Мирный, ул. Комсомольская, д. 29</t>
  </si>
  <si>
    <t>Мирнинский у, г. Мирный, ул. Ленина, д. 4 кор. 2</t>
  </si>
  <si>
    <t>Мирнинский у, г. Мирный, ул. Ленина, д. 10</t>
  </si>
  <si>
    <t>Мирнинский у, г. Мирный, ул. Ленина, д. 10 кор. а</t>
  </si>
  <si>
    <t>Мирнинский у, г. Мирный, ул. Ленина, д. 11</t>
  </si>
  <si>
    <t>Мирнинский у, г. Мирный, ул. Ленина, д. 12</t>
  </si>
  <si>
    <t>Мирнинский у, г. Мирный, ул. Ленина, д. 21</t>
  </si>
  <si>
    <t>Мирнинский у, г. Мирный, ул. Ленина, д. 23</t>
  </si>
  <si>
    <t>Мирнинский у, г. Мирный, ул. Ленина, д. 34</t>
  </si>
  <si>
    <t>Мирнинский у, г. Мирный, ул. Ленина, д. 35</t>
  </si>
  <si>
    <t>Мирнинский у, г. Мирный, ул. Ленина, д. 38</t>
  </si>
  <si>
    <t>Мирнинский у, г. Мирный, ул. Московская, д. 2</t>
  </si>
  <si>
    <t>Мирнинский у, г. Мирный, ул. Московская, д. 4</t>
  </si>
  <si>
    <t>Мирнинский у, г. Мирный, ул. Московская, д. 6</t>
  </si>
  <si>
    <t>Мирнинский у, г. Мирный, ул. Московская, д. 8</t>
  </si>
  <si>
    <t>Мирнинский у, г. Мирный, ул. Московская, д. 10</t>
  </si>
  <si>
    <t>Мирнинский у, г. Мирный, ул. Ойунского, д. 36</t>
  </si>
  <si>
    <t>Мирнинский у, г. Мирный, ул. Ойунского, д. 41</t>
  </si>
  <si>
    <t>Мирнинский у, г. Мирный, ул. Советская, д. 3</t>
  </si>
  <si>
    <t>Мирнинский у, г. Мирный, ул. Советская, д. 5</t>
  </si>
  <si>
    <t>Мирнинский у, г. Мирный, ул. Советская, д. 8</t>
  </si>
  <si>
    <t>Мирнинский у, г. Мирный, ул. Советская, д. 11 кор. 2</t>
  </si>
  <si>
    <t>Мирнинский у, г. Мирный, ул. Советская, д. 14</t>
  </si>
  <si>
    <t>Мирнинский у, г. Мирный, ул. Советская, д. 15 кор. 2</t>
  </si>
  <si>
    <t>Мирнинский у, г. Мирный, ул. Советская, д. 21</t>
  </si>
  <si>
    <t>Мирнинский у, г. Мирный, ул. Солдатова, д. 2</t>
  </si>
  <si>
    <t>Мирнинский у, г. Мирный, ул. Солдатова, д. 2 кор. 1</t>
  </si>
  <si>
    <t>Мирнинский у, г. Мирный, ул. Солдатова, д. 16</t>
  </si>
  <si>
    <t>Мирнинский у, г. Мирный, ул. Тихонова, д. 3 кор. 2</t>
  </si>
  <si>
    <t>Мирнинский у, г. Мирный, ул. Тихонова, д. 14</t>
  </si>
  <si>
    <t>Мирнинский у, г. Мирный, ул. Тихонова, д. 29 кор. 1</t>
  </si>
  <si>
    <t>Мирнинский у, г. Мирный, ул. Тихонова, д. 29 кор. 2</t>
  </si>
  <si>
    <t>Мирнинский у, г. Мирный, ул. Тихонова, д. 29 кор. 3</t>
  </si>
  <si>
    <t>Мирнинский у, г. Мирный, ул. Тихонова, д. 29/4</t>
  </si>
  <si>
    <t>Мирнинский у, г. Мирный, ш. 50 лет Октября, д. 1</t>
  </si>
  <si>
    <t>Мирнинский у, г. Мирный, ш. 50 лет Октября, д. 14 кор.1</t>
  </si>
  <si>
    <t>1995</t>
  </si>
  <si>
    <t>Мирнинский у, г. Мирный, ш. 50 лет Октября, д. 16 кор. 1</t>
  </si>
  <si>
    <t>МО "Поселок Айхал"</t>
  </si>
  <si>
    <t>Мирнинский у, п. Айхал, ул. Советская, д. 15</t>
  </si>
  <si>
    <t>Мирнинский у, п. Светлый, ул. Гидростроителей, д. 1</t>
  </si>
  <si>
    <t>Мирнинский у, п. Светлый, ул. Гидростроителей, д. 2</t>
  </si>
  <si>
    <t>Мирнинский у, п. Светлый, ул. Гидростроителей, д. 3</t>
  </si>
  <si>
    <t>МО "Поселок Чернышевский"</t>
  </si>
  <si>
    <t>Мирнинский у, п. Чернышевский, ул. Гидростроителей, д. 20</t>
  </si>
  <si>
    <t>Мирнинский у, п. Чернышевский, ул. Гидростроителей, д. 24</t>
  </si>
  <si>
    <t>Мирнинский у, п. Чернышевский, ул. Космонавтов, д. 10/2</t>
  </si>
  <si>
    <t>Нижнеколымский у, п. Черский, ул. Пушкина, д. 15</t>
  </si>
  <si>
    <t>Нюрбинский у, г. Нюрба, кв-л. Энергетик, д. 7</t>
  </si>
  <si>
    <t>Нюрбинский у, г. Нюрба, кв-л. Энергетик, д. 67 кор. 1</t>
  </si>
  <si>
    <t>Нюрбинский у, г. Нюрба, кв-л. Энергетик, д. 73</t>
  </si>
  <si>
    <t>Нюрбинский у, г. Нюрба, кв-л. Энергетик, д. 75</t>
  </si>
  <si>
    <t>МО "Поселок Солнечный"</t>
  </si>
  <si>
    <t>Усть-Майский у, п. Солнечный, ул. Профсоюзов, д. 6</t>
  </si>
  <si>
    <t>Усть-Майский у, п. Эльдикан, ул. Алданская, д. 81</t>
  </si>
  <si>
    <t>Усть-Майский у, п. Эльдикан, ул. Куйбышева, д. 30</t>
  </si>
  <si>
    <t>Усть-Майский у, п. Эльдикан, ул. Куйбышева, д. 34</t>
  </si>
  <si>
    <t>Усть-Майский у, п. Эльдикан, ул. Рабочая, д. 8</t>
  </si>
  <si>
    <t>Усть-Майский у, п. Эльдикан, ул. Рабочая, д. 12</t>
  </si>
  <si>
    <t>МО "Петропавловский национальный наслег"</t>
  </si>
  <si>
    <t>Усть-Майский у, с. Петропавловск, ул. Строда, д. 21</t>
  </si>
  <si>
    <t>Хангаласский у, п. Мохсоголлох, ул. Заводская, д. 1</t>
  </si>
  <si>
    <t>Хангаласский у, п. Мохсоголлох, ул. Молодежная, д. 20</t>
  </si>
  <si>
    <t>Хангаласский у, п. Мохсоголлох, ул. Молодежная, д. 20 кор. а</t>
  </si>
  <si>
    <t>Хангаласский у, п. Мохсоголлох, ул. Молодежная, д. 22</t>
  </si>
  <si>
    <t>Хангаласский у, п. Мохсоголлох, ул. Соколиная, д. 2</t>
  </si>
  <si>
    <t>Хангаласский у, п. Мохсоголлох, ул. Соколиная, д. 11</t>
  </si>
  <si>
    <t>Хангаласский у, п. Мохсоголлох, ул. Соколиная, д. 12</t>
  </si>
  <si>
    <t>Хангаласский у, п. Мохсоголлох, ул. Соколиная, д. 16</t>
  </si>
  <si>
    <t>Хангаласский у, п. Мохсоголлох, ул. Соколиная, д. 22</t>
  </si>
  <si>
    <t>МО "Чурапчинский наслег"</t>
  </si>
  <si>
    <t>Чурапчинский у, Чурапчинский н-г, с. Чурапча, ул. Ленина, д. 39</t>
  </si>
  <si>
    <t xml:space="preserve">* - 2023 г. по средствам из гос.бюджета отражено с учетом выплаченного аванса в 2022 г. на сумму 4 547 441,60 руб. по следующим МКД: </t>
  </si>
  <si>
    <t>Верхнеколымский у, п. Зырянка, ул. Леликова, д. 8 - 4 292 023,99 руб.</t>
  </si>
  <si>
    <t>Верхнеколымский у, Угольнинский н-г, с. Угольное, ул. Дорожная, д. 12 - 255 417,61 руб.</t>
  </si>
  <si>
    <r>
      <rPr>
        <i/>
        <sz val="11"/>
        <rFont val="Times New Roman"/>
      </rPr>
      <t>* - повторяющиеся многоквартирные дома, отраженные в финансово-обеспеченных в 2023 г.</t>
    </r>
  </si>
  <si>
    <t>Приложение № 2 к приказу</t>
  </si>
  <si>
    <t>Адресный перечень многоквартирных домов, в отношении которых в 2022-2024 гг. планируется проведение капитального ремонта общего имущества в многоквартирных домах, с разбивкой по видам работ</t>
  </si>
  <si>
    <t>МО "поселок Депутатский" спецсчет</t>
  </si>
  <si>
    <t>г. Якутск, ул. Стадухина, д. 84 кор. 1</t>
  </si>
  <si>
    <t>СП "Мюрюнский наслег"</t>
  </si>
  <si>
    <t>ГП "Поселок Хандыга"</t>
  </si>
  <si>
    <t>ГП "Поселок Хани"</t>
  </si>
  <si>
    <t>г. Якутск, ул. Чернышевского, д. 8 корп. 1</t>
  </si>
  <si>
    <t>МО "ГП "Поселок Хани""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</si>
</sst>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_ ;[Red]\-#,##0.00\ "/>
    <numFmt numFmtId="165" formatCode="0.00_ ;[Red]\-0.00\ "/>
    <numFmt numFmtId="166" formatCode="#,##0.0"/>
    <numFmt numFmtId="167" formatCode="#,##0.0000000000"/>
    <numFmt numFmtId="168" formatCode="#,##0_ ;[Red]\-#,##0\ "/>
    <numFmt numFmtId="169" formatCode="#,##0.0000_ ;[Red]\-#,##0.0000\ "/>
    <numFmt numFmtId="170" formatCode="#\ ##0.00_ ;[Red]\-#\ ##0.00\ "/>
    <numFmt numFmtId="171" formatCode="_-* #,##0.00_-;\-* #,##0.00_-;_-* \-??_-;_-@_-"/>
    <numFmt numFmtId="172" formatCode="_-* #,##0.00\ _₽_-;\-* #,##0.00\ _₽_-;_-* \-??\ _₽_-;_-@_-"/>
    <numFmt numFmtId="173" formatCode="_-* #,##0.00_р_._-;\-* #,##0.00_р_._-;_-* \-??_р_._-;_-@_-"/>
  </numFmts>
  <fonts count="1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name val="Times New Roman"/>
    </font>
    <font>
      <sz val="12"/>
      <name val="Times New Roman"/>
    </font>
    <font>
      <sz val="11"/>
      <color rgb="FFFF0000"/>
      <name val="Times New Roman"/>
    </font>
    <font>
      <sz val="11"/>
      <color theme="1"/>
      <name val="Times New Roman"/>
    </font>
    <font>
      <b/>
      <sz val="16"/>
      <name val="Times New Roman"/>
    </font>
    <font>
      <b/>
      <sz val="13"/>
      <name val="Times New Roman"/>
    </font>
    <font>
      <b/>
      <sz val="11"/>
      <name val="Times New Roman"/>
    </font>
    <font>
      <sz val="10"/>
      <name val="Arial"/>
    </font>
    <font>
      <sz val="10"/>
      <name val="Times New Roman"/>
    </font>
    <font>
      <b/>
      <sz val="11"/>
      <color theme="1"/>
      <name val="Times New Roman"/>
    </font>
    <font>
      <sz val="13"/>
      <color theme="1"/>
      <name val="Times New Roman"/>
    </font>
    <font>
      <sz val="13"/>
      <color rgb="FFFF0000"/>
      <name val="Times New Roman"/>
    </font>
    <font>
      <sz val="11"/>
      <color rgb="FF000000"/>
      <name val="Times New Roman"/>
    </font>
    <font>
      <sz val="10"/>
      <color theme="1"/>
      <name val="Times New Roman"/>
    </font>
    <font>
      <i/>
      <sz val="11"/>
      <name val="Times New Roman"/>
    </font>
    <font>
      <b/>
      <sz val="9"/>
      <color rgb="FF000000"/>
      <name val="Tahoma"/>
    </font>
    <font>
      <sz val="9"/>
      <color rgb="FF000000"/>
      <name val="Tahoma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4" tint="0.39988402966399123"/>
        <bgColor indexed="65"/>
      </patternFill>
    </fill>
    <fill>
      <patternFill patternType="solid">
        <fgColor theme="4" tint="0.39991454817346722"/>
        <bgColor indexed="65"/>
      </patternFill>
    </fill>
    <fill>
      <patternFill patternType="solid">
        <fgColor theme="0"/>
      </patternFill>
    </fill>
    <fill>
      <patternFill patternType="solid">
        <fgColor theme="4" tint="0.59999389629810485"/>
        <bgColor indexed="65"/>
      </patternFill>
    </fill>
  </fills>
  <borders count="31"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/>
      <diagonal/>
    </border>
    <border>
      <left style="dotted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 diagonalUp="1" diagonalDown="1"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 diagonalUp="1" diagonalDown="1"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/>
  </cellStyleXfs>
  <cellXfs count="254">
    <xf numFmtId="0" fontId="1" fillId="0" borderId="0" xfId="0" applyNumberFormat="1" applyFont="1"/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/>
    </xf>
    <xf numFmtId="0" fontId="8" fillId="3" borderId="12" xfId="0" applyNumberFormat="1" applyFont="1" applyFill="1" applyBorder="1" applyAlignment="1">
      <alignment horizontal="center" vertical="center"/>
    </xf>
    <xf numFmtId="0" fontId="8" fillId="3" borderId="13" xfId="0" applyNumberFormat="1" applyFont="1" applyFill="1" applyBorder="1" applyAlignment="1">
      <alignment horizontal="center" vertical="center"/>
    </xf>
    <xf numFmtId="0" fontId="8" fillId="3" borderId="13" xfId="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8" fillId="3" borderId="14" xfId="0" applyNumberFormat="1" applyFont="1" applyFill="1" applyBorder="1" applyAlignment="1">
      <alignment horizontal="center" vertical="center" wrapText="1"/>
    </xf>
    <xf numFmtId="0" fontId="8" fillId="3" borderId="15" xfId="0" applyNumberFormat="1" applyFont="1" applyFill="1" applyBorder="1" applyAlignment="1">
      <alignment horizontal="center" vertical="center" wrapText="1"/>
    </xf>
    <xf numFmtId="3" fontId="8" fillId="3" borderId="15" xfId="0" applyNumberFormat="1" applyFont="1" applyFill="1" applyBorder="1" applyAlignment="1">
      <alignment horizontal="center" vertical="center" wrapText="1"/>
    </xf>
    <xf numFmtId="166" fontId="8" fillId="3" borderId="13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0" xfId="0" applyNumberFormat="1" applyFont="1" applyFill="1" applyAlignment="1">
      <alignment horizontal="center" vertical="center" wrapText="1"/>
    </xf>
    <xf numFmtId="4" fontId="8" fillId="3" borderId="0" xfId="0" applyNumberFormat="1" applyFont="1" applyFill="1" applyAlignment="1">
      <alignment horizontal="center" vertical="center"/>
    </xf>
    <xf numFmtId="4" fontId="8" fillId="3" borderId="13" xfId="0" applyNumberFormat="1" applyFont="1" applyFill="1" applyBorder="1" applyAlignment="1">
      <alignment horizontal="center" vertical="center" wrapText="1"/>
    </xf>
    <xf numFmtId="4" fontId="8" fillId="2" borderId="13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Alignment="1">
      <alignment horizontal="center" vertical="center" wrapText="1"/>
    </xf>
    <xf numFmtId="0" fontId="8" fillId="3" borderId="16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vertical="center" wrapText="1"/>
    </xf>
    <xf numFmtId="167" fontId="2" fillId="3" borderId="0" xfId="0" applyNumberFormat="1" applyFont="1" applyFill="1" applyAlignment="1">
      <alignment horizontal="center" vertical="center" wrapText="1"/>
    </xf>
    <xf numFmtId="4" fontId="2" fillId="3" borderId="0" xfId="0" applyNumberFormat="1" applyFont="1" applyFill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horizontal="center" vertical="center" wrapText="1"/>
    </xf>
    <xf numFmtId="4" fontId="8" fillId="3" borderId="17" xfId="0" applyNumberFormat="1" applyFont="1" applyFill="1" applyBorder="1" applyAlignment="1">
      <alignment vertical="center" wrapText="1"/>
    </xf>
    <xf numFmtId="4" fontId="8" fillId="3" borderId="0" xfId="0" applyNumberFormat="1" applyFont="1" applyFill="1" applyAlignment="1">
      <alignment vertical="center" wrapText="1"/>
    </xf>
    <xf numFmtId="0" fontId="2" fillId="0" borderId="16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8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0" fontId="2" fillId="0" borderId="18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vertical="center"/>
    </xf>
    <xf numFmtId="167" fontId="2" fillId="0" borderId="0" xfId="0" applyNumberFormat="1" applyFont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5" fillId="0" borderId="18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horizontal="right" vertical="center" wrapText="1"/>
    </xf>
    <xf numFmtId="170" fontId="5" fillId="0" borderId="1" xfId="0" applyNumberFormat="1" applyFont="1" applyBorder="1" applyAlignment="1">
      <alignment vertical="center"/>
    </xf>
    <xf numFmtId="170" fontId="2" fillId="0" borderId="1" xfId="0" applyNumberFormat="1" applyFont="1" applyBorder="1" applyAlignment="1">
      <alignment vertical="center"/>
    </xf>
    <xf numFmtId="170" fontId="5" fillId="0" borderId="18" xfId="0" applyNumberFormat="1" applyFont="1" applyBorder="1" applyAlignment="1">
      <alignment vertical="center"/>
    </xf>
    <xf numFmtId="0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0" fontId="2" fillId="4" borderId="0" xfId="0" applyNumberFormat="1" applyFont="1" applyFill="1" applyAlignment="1">
      <alignment vertical="center"/>
    </xf>
    <xf numFmtId="4" fontId="2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2" fillId="0" borderId="17" xfId="0" applyNumberFormat="1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vertical="center"/>
    </xf>
    <xf numFmtId="4" fontId="5" fillId="2" borderId="19" xfId="0" applyNumberFormat="1" applyFont="1" applyFill="1" applyBorder="1" applyAlignment="1">
      <alignment vertical="center"/>
    </xf>
    <xf numFmtId="164" fontId="2" fillId="4" borderId="19" xfId="0" applyNumberFormat="1" applyFont="1" applyFill="1" applyBorder="1" applyAlignment="1">
      <alignment vertical="center"/>
    </xf>
    <xf numFmtId="0" fontId="2" fillId="3" borderId="0" xfId="0" applyNumberFormat="1" applyFont="1" applyFill="1" applyAlignment="1">
      <alignment vertical="center"/>
    </xf>
    <xf numFmtId="0" fontId="2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vertical="center"/>
    </xf>
    <xf numFmtId="0" fontId="2" fillId="3" borderId="18" xfId="0" applyNumberFormat="1" applyFont="1" applyFill="1" applyBorder="1" applyAlignment="1">
      <alignment horizontal="center" vertical="center"/>
    </xf>
    <xf numFmtId="0" fontId="5" fillId="5" borderId="0" xfId="0" applyNumberFormat="1" applyFont="1" applyFill="1" applyAlignment="1">
      <alignment vertical="center"/>
    </xf>
    <xf numFmtId="0" fontId="2" fillId="5" borderId="0" xfId="0" applyNumberFormat="1" applyFont="1" applyFill="1" applyAlignment="1">
      <alignment vertical="center"/>
    </xf>
    <xf numFmtId="0" fontId="8" fillId="5" borderId="0" xfId="0" applyNumberFormat="1" applyFont="1" applyFill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164" fontId="8" fillId="6" borderId="1" xfId="0" applyNumberFormat="1" applyFont="1" applyFill="1" applyBorder="1" applyAlignment="1">
      <alignment vertical="center"/>
    </xf>
    <xf numFmtId="164" fontId="5" fillId="5" borderId="1" xfId="0" applyNumberFormat="1" applyFont="1" applyFill="1" applyBorder="1" applyAlignment="1">
      <alignment vertical="center"/>
    </xf>
    <xf numFmtId="0" fontId="2" fillId="5" borderId="18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4" fontId="5" fillId="3" borderId="0" xfId="0" applyNumberFormat="1" applyFont="1" applyFill="1" applyAlignment="1">
      <alignment vertical="center"/>
    </xf>
    <xf numFmtId="164" fontId="5" fillId="3" borderId="0" xfId="0" applyNumberFormat="1" applyFont="1" applyFill="1" applyAlignment="1">
      <alignment vertical="center"/>
    </xf>
    <xf numFmtId="3" fontId="2" fillId="3" borderId="0" xfId="0" applyNumberFormat="1" applyFont="1" applyFill="1" applyAlignment="1">
      <alignment horizontal="center" vertical="center" wrapText="1"/>
    </xf>
    <xf numFmtId="4" fontId="2" fillId="3" borderId="0" xfId="0" applyNumberFormat="1" applyFont="1" applyFill="1" applyAlignment="1">
      <alignment vertical="center"/>
    </xf>
    <xf numFmtId="4" fontId="11" fillId="3" borderId="1" xfId="0" applyNumberFormat="1" applyFont="1" applyFill="1" applyBorder="1" applyAlignment="1">
      <alignment vertical="center"/>
    </xf>
    <xf numFmtId="164" fontId="8" fillId="3" borderId="17" xfId="0" applyNumberFormat="1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/>
    <xf numFmtId="0" fontId="5" fillId="0" borderId="18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4" fontId="2" fillId="0" borderId="1" xfId="0" applyNumberFormat="1" applyFont="1" applyBorder="1"/>
    <xf numFmtId="164" fontId="5" fillId="0" borderId="1" xfId="0" applyNumberFormat="1" applyFont="1" applyBorder="1"/>
    <xf numFmtId="164" fontId="10" fillId="0" borderId="0" xfId="0" applyNumberFormat="1" applyFont="1" applyAlignment="1">
      <alignment vertical="center"/>
    </xf>
    <xf numFmtId="171" fontId="10" fillId="0" borderId="0" xfId="0" applyNumberFormat="1" applyFont="1" applyAlignment="1">
      <alignment vertical="center"/>
    </xf>
    <xf numFmtId="172" fontId="10" fillId="0" borderId="0" xfId="0" applyNumberFormat="1" applyFont="1" applyAlignment="1">
      <alignment vertical="center"/>
    </xf>
    <xf numFmtId="172" fontId="2" fillId="0" borderId="0" xfId="0" applyNumberFormat="1" applyFont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5" fillId="0" borderId="19" xfId="0" applyNumberFormat="1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164" fontId="5" fillId="0" borderId="20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5" fillId="0" borderId="13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164" fontId="5" fillId="0" borderId="15" xfId="0" applyNumberFormat="1" applyFont="1" applyBorder="1" applyAlignment="1">
      <alignment vertical="center"/>
    </xf>
    <xf numFmtId="4" fontId="12" fillId="0" borderId="0" xfId="0" applyNumberFormat="1" applyFont="1" applyAlignment="1">
      <alignment horizontal="center" vertical="center"/>
    </xf>
    <xf numFmtId="4" fontId="5" fillId="0" borderId="17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168" fontId="5" fillId="0" borderId="1" xfId="0" applyNumberFormat="1" applyFont="1" applyBorder="1" applyAlignment="1">
      <alignment vertical="center"/>
    </xf>
    <xf numFmtId="171" fontId="2" fillId="0" borderId="0" xfId="0" applyNumberFormat="1" applyFont="1" applyAlignment="1">
      <alignment vertical="center"/>
    </xf>
    <xf numFmtId="164" fontId="5" fillId="0" borderId="23" xfId="0" applyNumberFormat="1" applyFont="1" applyBorder="1" applyAlignment="1">
      <alignment vertical="center"/>
    </xf>
    <xf numFmtId="167" fontId="4" fillId="0" borderId="0" xfId="0" applyNumberFormat="1" applyFont="1" applyAlignment="1">
      <alignment horizontal="center" vertical="center" wrapText="1"/>
    </xf>
    <xf numFmtId="4" fontId="0" fillId="0" borderId="0" xfId="0" applyNumberFormat="1" applyFont="1" applyAlignment="1">
      <alignment horizontal="right" vertical="top"/>
    </xf>
    <xf numFmtId="4" fontId="1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3" fontId="5" fillId="0" borderId="24" xfId="0" applyNumberFormat="1" applyFont="1" applyBorder="1" applyAlignment="1">
      <alignment vertical="center"/>
    </xf>
    <xf numFmtId="0" fontId="5" fillId="0" borderId="24" xfId="0" applyNumberFormat="1" applyFont="1" applyBorder="1" applyAlignment="1">
      <alignment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vertical="center"/>
    </xf>
    <xf numFmtId="0" fontId="5" fillId="0" borderId="25" xfId="0" applyNumberFormat="1" applyFont="1" applyBorder="1" applyAlignment="1">
      <alignment vertical="center"/>
    </xf>
    <xf numFmtId="164" fontId="5" fillId="0" borderId="25" xfId="0" applyNumberFormat="1" applyFont="1" applyBorder="1" applyAlignment="1">
      <alignment vertical="center"/>
    </xf>
    <xf numFmtId="164" fontId="2" fillId="0" borderId="25" xfId="0" applyNumberFormat="1" applyFont="1" applyBorder="1" applyAlignment="1">
      <alignment vertical="center"/>
    </xf>
    <xf numFmtId="168" fontId="2" fillId="0" borderId="25" xfId="0" applyNumberFormat="1" applyFont="1" applyBorder="1" applyAlignment="1">
      <alignment vertical="center"/>
    </xf>
    <xf numFmtId="0" fontId="2" fillId="0" borderId="24" xfId="0" applyNumberFormat="1" applyFont="1" applyBorder="1" applyAlignment="1">
      <alignment vertical="center"/>
    </xf>
    <xf numFmtId="164" fontId="2" fillId="0" borderId="1" xfId="0" applyNumberFormat="1" applyFont="1" applyBorder="1"/>
    <xf numFmtId="164" fontId="14" fillId="0" borderId="1" xfId="0" applyNumberFormat="1" applyFont="1" applyBorder="1" applyAlignment="1">
      <alignment vertical="center"/>
    </xf>
    <xf numFmtId="173" fontId="2" fillId="0" borderId="1" xfId="0" applyNumberFormat="1" applyFont="1" applyBorder="1" applyAlignment="1">
      <alignment vertical="center"/>
    </xf>
    <xf numFmtId="0" fontId="10" fillId="5" borderId="0" xfId="0" applyNumberFormat="1" applyFont="1" applyFill="1" applyAlignment="1">
      <alignment vertical="center"/>
    </xf>
    <xf numFmtId="3" fontId="5" fillId="5" borderId="0" xfId="0" applyNumberFormat="1" applyFont="1" applyFill="1" applyAlignment="1">
      <alignment vertical="center"/>
    </xf>
    <xf numFmtId="164" fontId="11" fillId="5" borderId="1" xfId="0" applyNumberFormat="1" applyFont="1" applyFill="1" applyBorder="1" applyAlignment="1">
      <alignment vertical="center"/>
    </xf>
    <xf numFmtId="0" fontId="5" fillId="5" borderId="18" xfId="0" applyNumberFormat="1" applyFont="1" applyFill="1" applyBorder="1" applyAlignment="1">
      <alignment horizontal="center" vertical="center"/>
    </xf>
    <xf numFmtId="4" fontId="10" fillId="5" borderId="0" xfId="0" applyNumberFormat="1" applyFont="1" applyFill="1" applyAlignment="1">
      <alignment vertical="center"/>
    </xf>
    <xf numFmtId="167" fontId="2" fillId="5" borderId="0" xfId="0" applyNumberFormat="1" applyFont="1" applyFill="1" applyAlignment="1">
      <alignment horizontal="center" vertical="center" wrapText="1"/>
    </xf>
    <xf numFmtId="4" fontId="9" fillId="5" borderId="0" xfId="0" applyNumberFormat="1" applyFont="1" applyFill="1" applyAlignment="1">
      <alignment horizontal="right" vertical="center" wrapText="1"/>
    </xf>
    <xf numFmtId="4" fontId="2" fillId="5" borderId="0" xfId="0" applyNumberFormat="1" applyFont="1" applyFill="1" applyAlignment="1">
      <alignment vertical="center"/>
    </xf>
    <xf numFmtId="164" fontId="2" fillId="5" borderId="0" xfId="0" applyNumberFormat="1" applyFont="1" applyFill="1" applyAlignment="1">
      <alignment vertical="center"/>
    </xf>
    <xf numFmtId="4" fontId="5" fillId="5" borderId="13" xfId="0" applyNumberFormat="1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vertical="center"/>
    </xf>
    <xf numFmtId="164" fontId="5" fillId="5" borderId="17" xfId="0" applyNumberFormat="1" applyFont="1" applyFill="1" applyBorder="1" applyAlignment="1">
      <alignment vertical="center"/>
    </xf>
    <xf numFmtId="164" fontId="10" fillId="5" borderId="0" xfId="0" applyNumberFormat="1" applyFont="1" applyFill="1" applyAlignment="1">
      <alignment vertical="center"/>
    </xf>
    <xf numFmtId="164" fontId="1" fillId="0" borderId="0" xfId="0" applyNumberFormat="1" applyFont="1"/>
    <xf numFmtId="4" fontId="1" fillId="0" borderId="0" xfId="0" applyNumberFormat="1" applyFont="1"/>
    <xf numFmtId="4" fontId="2" fillId="0" borderId="13" xfId="0" applyNumberFormat="1" applyFont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4" fontId="8" fillId="3" borderId="17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right" vertical="center" wrapText="1"/>
    </xf>
    <xf numFmtId="4" fontId="2" fillId="0" borderId="0" xfId="0" applyNumberFormat="1" applyFont="1"/>
    <xf numFmtId="0" fontId="2" fillId="0" borderId="13" xfId="0" applyNumberFormat="1" applyFont="1" applyBorder="1" applyAlignment="1">
      <alignment vertical="center"/>
    </xf>
    <xf numFmtId="0" fontId="2" fillId="0" borderId="13" xfId="0" applyNumberFormat="1" applyFont="1" applyBorder="1" applyAlignment="1">
      <alignment horizontal="center" vertical="center"/>
    </xf>
    <xf numFmtId="168" fontId="2" fillId="0" borderId="13" xfId="0" applyNumberFormat="1" applyFont="1" applyBorder="1" applyAlignment="1">
      <alignment vertical="center"/>
    </xf>
    <xf numFmtId="4" fontId="2" fillId="0" borderId="13" xfId="0" applyNumberFormat="1" applyFont="1" applyBorder="1"/>
    <xf numFmtId="0" fontId="2" fillId="0" borderId="17" xfId="0" applyNumberFormat="1" applyFont="1" applyBorder="1" applyAlignment="1">
      <alignment vertical="center"/>
    </xf>
    <xf numFmtId="0" fontId="2" fillId="0" borderId="18" xfId="0" applyNumberFormat="1" applyFont="1" applyBorder="1" applyAlignment="1">
      <alignment vertical="center"/>
    </xf>
    <xf numFmtId="0" fontId="15" fillId="0" borderId="0" xfId="0" applyNumberFormat="1" applyFont="1" applyAlignment="1">
      <alignment vertical="center"/>
    </xf>
    <xf numFmtId="4" fontId="5" fillId="0" borderId="0" xfId="0" applyNumberFormat="1" applyFont="1"/>
    <xf numFmtId="0" fontId="5" fillId="0" borderId="0" xfId="0" applyNumberFormat="1" applyFont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4" fontId="2" fillId="0" borderId="25" xfId="0" applyNumberFormat="1" applyFont="1" applyBorder="1" applyAlignment="1">
      <alignment vertical="center"/>
    </xf>
    <xf numFmtId="0" fontId="5" fillId="0" borderId="0" xfId="0" applyNumberFormat="1" applyFont="1" applyAlignment="1">
      <alignment horizontal="center" vertical="center"/>
    </xf>
    <xf numFmtId="4" fontId="5" fillId="0" borderId="25" xfId="0" applyNumberFormat="1" applyFont="1" applyBorder="1" applyAlignment="1">
      <alignment vertical="center"/>
    </xf>
    <xf numFmtId="0" fontId="1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right"/>
    </xf>
    <xf numFmtId="0" fontId="2" fillId="7" borderId="0" xfId="0" applyNumberFormat="1" applyFont="1" applyFill="1" applyAlignment="1">
      <alignment horizontal="right"/>
    </xf>
    <xf numFmtId="0" fontId="8" fillId="4" borderId="0" xfId="0" applyNumberFormat="1" applyFont="1" applyFill="1" applyAlignment="1">
      <alignment horizontal="center" vertical="center"/>
    </xf>
    <xf numFmtId="0" fontId="2" fillId="4" borderId="0" xfId="0" applyNumberFormat="1" applyFont="1" applyFill="1" applyAlignment="1">
      <alignment horizontal="center" vertical="center" wrapText="1"/>
    </xf>
    <xf numFmtId="0" fontId="8" fillId="3" borderId="23" xfId="0" applyNumberFormat="1" applyFont="1" applyFill="1" applyBorder="1" applyAlignment="1">
      <alignment horizontal="center" vertical="center" wrapText="1"/>
    </xf>
    <xf numFmtId="0" fontId="5" fillId="0" borderId="16" xfId="0" applyNumberFormat="1" applyFont="1" applyBorder="1" applyAlignment="1">
      <alignment vertical="center"/>
    </xf>
    <xf numFmtId="4" fontId="2" fillId="4" borderId="0" xfId="0" applyNumberFormat="1" applyFont="1" applyFill="1" applyAlignment="1">
      <alignment horizontal="center" vertical="center" wrapText="1"/>
    </xf>
    <xf numFmtId="0" fontId="5" fillId="0" borderId="26" xfId="0" applyNumberFormat="1" applyFont="1" applyBorder="1" applyAlignment="1">
      <alignment vertical="center"/>
    </xf>
    <xf numFmtId="0" fontId="5" fillId="0" borderId="19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0" fontId="5" fillId="3" borderId="27" xfId="0" applyNumberFormat="1" applyFont="1" applyFill="1" applyBorder="1" applyAlignment="1">
      <alignment vertical="center"/>
    </xf>
    <xf numFmtId="0" fontId="5" fillId="3" borderId="19" xfId="0" applyNumberFormat="1" applyFont="1" applyFill="1" applyBorder="1" applyAlignment="1">
      <alignment vertical="center"/>
    </xf>
    <xf numFmtId="0" fontId="8" fillId="3" borderId="19" xfId="0" applyNumberFormat="1" applyFont="1" applyFill="1" applyBorder="1" applyAlignment="1">
      <alignment horizontal="center" vertical="center"/>
    </xf>
    <xf numFmtId="4" fontId="11" fillId="3" borderId="19" xfId="0" applyNumberFormat="1" applyFont="1" applyFill="1" applyBorder="1" applyAlignment="1">
      <alignment vertical="center"/>
    </xf>
    <xf numFmtId="0" fontId="5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4" fontId="11" fillId="5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center" vertical="top" wrapText="1"/>
    </xf>
    <xf numFmtId="0" fontId="5" fillId="8" borderId="16" xfId="0" applyNumberFormat="1" applyFont="1" applyFill="1" applyBorder="1" applyAlignment="1">
      <alignment vertical="center"/>
    </xf>
    <xf numFmtId="164" fontId="5" fillId="5" borderId="23" xfId="0" applyNumberFormat="1" applyFont="1" applyFill="1" applyBorder="1" applyAlignment="1">
      <alignment vertical="center"/>
    </xf>
    <xf numFmtId="0" fontId="5" fillId="3" borderId="16" xfId="0" applyNumberFormat="1" applyFont="1" applyFill="1" applyBorder="1" applyAlignment="1">
      <alignment vertical="center"/>
    </xf>
    <xf numFmtId="0" fontId="2" fillId="3" borderId="1" xfId="0" applyNumberFormat="1" applyFont="1" applyFill="1" applyBorder="1" applyAlignment="1">
      <alignment vertical="center"/>
    </xf>
    <xf numFmtId="0" fontId="8" fillId="3" borderId="1" xfId="0" applyNumberFormat="1" applyFont="1" applyFill="1" applyBorder="1" applyAlignment="1">
      <alignment horizontal="center" vertical="center"/>
    </xf>
    <xf numFmtId="4" fontId="8" fillId="3" borderId="18" xfId="0" applyNumberFormat="1" applyFont="1" applyFill="1" applyBorder="1" applyAlignment="1">
      <alignment vertical="center"/>
    </xf>
    <xf numFmtId="0" fontId="2" fillId="0" borderId="28" xfId="0" applyNumberFormat="1" applyFont="1" applyBorder="1" applyAlignment="1">
      <alignment vertical="center"/>
    </xf>
    <xf numFmtId="0" fontId="2" fillId="0" borderId="29" xfId="0" applyNumberFormat="1" applyFont="1" applyBorder="1" applyAlignment="1">
      <alignment vertical="center"/>
    </xf>
    <xf numFmtId="0" fontId="2" fillId="0" borderId="30" xfId="0" applyNumberFormat="1" applyFont="1" applyBorder="1" applyAlignment="1">
      <alignment vertical="center"/>
    </xf>
    <xf numFmtId="0" fontId="2" fillId="0" borderId="1" xfId="0" applyNumberFormat="1" applyFont="1" applyBorder="1"/>
    <xf numFmtId="4" fontId="8" fillId="0" borderId="3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166" fontId="8" fillId="0" borderId="3" xfId="0" applyNumberFormat="1" applyFont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11" xfId="0" applyNumberFormat="1" applyFont="1" applyBorder="1" applyAlignment="1">
      <alignment horizontal="center" vertical="center" wrapText="1"/>
    </xf>
    <xf numFmtId="166" fontId="8" fillId="0" borderId="6" xfId="0" applyNumberFormat="1" applyFont="1" applyBorder="1" applyAlignment="1">
      <alignment horizontal="center" vertical="center" wrapText="1"/>
    </xf>
    <xf numFmtId="166" fontId="8" fillId="0" borderId="10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20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V860"/>
  <sheetViews>
    <sheetView showZeros="0" tabSelected="1" workbookViewId="0">
      <pane xSplit="4" ySplit="12" topLeftCell="E13" activePane="bottomRight" state="frozen"/>
      <selection pane="topRight"/>
      <selection pane="bottomLeft"/>
      <selection pane="bottomRight" activeCell="E13" sqref="E13"/>
    </sheetView>
  </sheetViews>
  <sheetFormatPr defaultColWidth="9.140625" defaultRowHeight="15" x14ac:dyDescent="0.25"/>
  <cols>
    <col min="1" max="1" width="8.140625" style="1" customWidth="1"/>
    <col min="2" max="2" width="10" style="1" customWidth="1"/>
    <col min="3" max="3" width="41" style="1" customWidth="1"/>
    <col min="4" max="4" width="71.5703125" style="1" customWidth="1"/>
    <col min="5" max="5" width="10.7109375" style="2" customWidth="1"/>
    <col min="6" max="6" width="12.7109375" style="2" customWidth="1"/>
    <col min="7" max="7" width="22.42578125" style="2" customWidth="1"/>
    <col min="8" max="8" width="9" style="2" customWidth="1"/>
    <col min="9" max="9" width="8.7109375" style="2" customWidth="1"/>
    <col min="10" max="10" width="14" style="1" customWidth="1"/>
    <col min="11" max="11" width="17.140625" style="1" customWidth="1"/>
    <col min="12" max="12" width="16.7109375" style="1" customWidth="1"/>
    <col min="13" max="13" width="16.85546875" style="1" customWidth="1"/>
    <col min="14" max="14" width="21" style="1" customWidth="1"/>
    <col min="15" max="15" width="17" style="1" customWidth="1"/>
    <col min="16" max="16" width="20" style="1" customWidth="1"/>
    <col min="17" max="18" width="17.85546875" style="1" customWidth="1"/>
    <col min="19" max="19" width="22.28515625" style="1" customWidth="1"/>
    <col min="20" max="20" width="19" style="1" customWidth="1"/>
    <col min="21" max="22" width="17.140625" style="1" customWidth="1"/>
    <col min="23" max="23" width="14.5703125" style="2" customWidth="1"/>
    <col min="24" max="24" width="16.28515625" style="1" hidden="1" customWidth="1"/>
    <col min="25" max="25" width="9.140625" style="1" hidden="1" customWidth="1"/>
    <col min="26" max="41" width="16.85546875" style="1" hidden="1" customWidth="1"/>
    <col min="42" max="42" width="25.42578125" style="1" hidden="1" customWidth="1"/>
    <col min="43" max="43" width="16" style="1" hidden="1" customWidth="1"/>
    <col min="44" max="44" width="13.85546875" style="3" hidden="1" customWidth="1"/>
    <col min="45" max="45" width="17.28515625" style="3" hidden="1" customWidth="1"/>
    <col min="46" max="46" width="18.140625" style="1" hidden="1" customWidth="1"/>
    <col min="47" max="47" width="17.7109375" style="1" hidden="1" customWidth="1"/>
    <col min="48" max="48" width="12.42578125" style="1" hidden="1" customWidth="1"/>
    <col min="49" max="63" width="20.7109375" style="1" hidden="1" customWidth="1"/>
    <col min="64" max="64" width="15.42578125" style="1" hidden="1" customWidth="1"/>
    <col min="65" max="65" width="20.140625" style="4" hidden="1" customWidth="1"/>
    <col min="66" max="66" width="22.42578125" style="1" hidden="1" customWidth="1"/>
    <col min="67" max="67" width="17.140625" style="1" hidden="1" customWidth="1"/>
    <col min="68" max="68" width="17.5703125" style="1" hidden="1" customWidth="1"/>
    <col min="69" max="69" width="18.85546875" style="1" hidden="1" customWidth="1"/>
    <col min="70" max="73" width="15.7109375" style="1" hidden="1" customWidth="1"/>
    <col min="74" max="74" width="17.85546875" style="1" hidden="1" customWidth="1"/>
    <col min="75" max="75" width="15.7109375" style="1" hidden="1" customWidth="1"/>
    <col min="76" max="76" width="17.42578125" style="1" hidden="1" customWidth="1"/>
    <col min="77" max="77" width="19.28515625" style="1" hidden="1" customWidth="1"/>
    <col min="78" max="79" width="15.7109375" style="1" hidden="1" customWidth="1"/>
    <col min="80" max="80" width="20" style="1" hidden="1" customWidth="1"/>
    <col min="81" max="81" width="9.140625" style="1" customWidth="1"/>
    <col min="82" max="82" width="17.28515625" style="1" customWidth="1"/>
    <col min="83" max="83" width="17.85546875" style="1" customWidth="1"/>
    <col min="84" max="84" width="16.42578125" style="1" customWidth="1"/>
    <col min="85" max="85" width="13.85546875" style="1" customWidth="1"/>
    <col min="86" max="86" width="13.5703125" style="1" customWidth="1"/>
    <col min="87" max="93" width="9.140625" style="1" customWidth="1"/>
    <col min="94" max="94" width="9.140625" style="1" bestFit="1" customWidth="1"/>
    <col min="95" max="16384" width="9.140625" style="1"/>
  </cols>
  <sheetData>
    <row r="1" spans="1:149" ht="15.75" x14ac:dyDescent="0.25">
      <c r="W1" s="5" t="s">
        <v>0</v>
      </c>
    </row>
    <row r="2" spans="1:149" ht="15.75" x14ac:dyDescent="0.25">
      <c r="N2" s="3"/>
      <c r="P2" s="3"/>
      <c r="R2"/>
      <c r="S2" s="6"/>
      <c r="W2" s="5" t="s">
        <v>1</v>
      </c>
    </row>
    <row r="3" spans="1:149" ht="15.75" x14ac:dyDescent="0.25">
      <c r="N3" s="3"/>
      <c r="P3" s="3"/>
      <c r="R3"/>
      <c r="S3" s="6"/>
      <c r="W3" s="5"/>
      <c r="BT3" s="1">
        <v>71533644.818031907</v>
      </c>
    </row>
    <row r="4" spans="1:149" x14ac:dyDescent="0.25">
      <c r="P4" s="3"/>
      <c r="BO4" s="7">
        <v>849904.99</v>
      </c>
      <c r="BP4" s="8">
        <v>13274787.34</v>
      </c>
      <c r="BQ4" s="3">
        <f>BP4-BP6</f>
        <v>1217841.9299999997</v>
      </c>
      <c r="BT4" s="1">
        <v>67926919.808031902</v>
      </c>
      <c r="BV4" s="7">
        <v>42494057.828031898</v>
      </c>
    </row>
    <row r="5" spans="1:149" x14ac:dyDescent="0.25">
      <c r="P5" s="3"/>
      <c r="AP5" s="3">
        <f>P14-P29-P33-P41-P43-P54</f>
        <v>460498552.867387</v>
      </c>
      <c r="AQ5" s="3"/>
      <c r="BO5" s="6">
        <f>BO4+BQ4</f>
        <v>2067746.9199999997</v>
      </c>
      <c r="BT5" s="1">
        <f>BT3-BT4</f>
        <v>3606725.0100000054</v>
      </c>
      <c r="BV5" s="6">
        <f>BV4-BT5</f>
        <v>38887332.818031892</v>
      </c>
    </row>
    <row r="6" spans="1:149" ht="20.25" x14ac:dyDescent="0.25">
      <c r="A6" s="224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AP6" s="9">
        <f>AP10-P29-P33-P41-P43-P54</f>
        <v>457870517.62646502</v>
      </c>
      <c r="BP6" s="1">
        <v>12056945.41</v>
      </c>
    </row>
    <row r="7" spans="1:149" ht="16.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  <c r="O7" s="10"/>
      <c r="P7" s="11"/>
      <c r="Q7" s="10"/>
      <c r="R7" s="10"/>
      <c r="S7" s="10"/>
      <c r="T7" s="10"/>
      <c r="U7" s="10"/>
      <c r="V7" s="10"/>
      <c r="W7" s="10"/>
      <c r="AP7" s="9" t="e">
        <f>AP8+#REF!</f>
        <v>#REF!</v>
      </c>
    </row>
    <row r="8" spans="1:149" x14ac:dyDescent="0.25">
      <c r="A8" s="12"/>
      <c r="B8" s="12"/>
      <c r="C8" s="12"/>
      <c r="D8" s="12"/>
      <c r="I8" s="13"/>
      <c r="J8" s="14"/>
      <c r="K8" s="14"/>
      <c r="L8" s="14"/>
      <c r="M8" s="15"/>
      <c r="N8" s="16"/>
      <c r="O8" s="16"/>
      <c r="P8" s="16"/>
      <c r="Q8" s="16"/>
      <c r="R8" s="16"/>
      <c r="S8" s="16"/>
      <c r="T8" s="16"/>
      <c r="U8" s="17"/>
      <c r="V8" s="17"/>
      <c r="AP8" s="9">
        <f>P14-AP9</f>
        <v>460498552.86738694</v>
      </c>
    </row>
    <row r="9" spans="1:149" s="18" customFormat="1" ht="14.25" customHeight="1" x14ac:dyDescent="0.25">
      <c r="A9" s="229" t="s">
        <v>3</v>
      </c>
      <c r="B9" s="229" t="s">
        <v>3</v>
      </c>
      <c r="C9" s="232" t="s">
        <v>4</v>
      </c>
      <c r="D9" s="232" t="s">
        <v>5</v>
      </c>
      <c r="E9" s="227" t="s">
        <v>6</v>
      </c>
      <c r="F9" s="228"/>
      <c r="G9" s="232" t="s">
        <v>7</v>
      </c>
      <c r="H9" s="232" t="s">
        <v>8</v>
      </c>
      <c r="I9" s="235" t="s">
        <v>9</v>
      </c>
      <c r="J9" s="225" t="s">
        <v>10</v>
      </c>
      <c r="K9" s="225" t="s">
        <v>11</v>
      </c>
      <c r="L9" s="226"/>
      <c r="M9" s="240" t="s">
        <v>12</v>
      </c>
      <c r="N9" s="216" t="s">
        <v>13</v>
      </c>
      <c r="O9" s="219"/>
      <c r="P9" s="219"/>
      <c r="Q9" s="219"/>
      <c r="R9" s="219"/>
      <c r="S9" s="219"/>
      <c r="T9" s="220"/>
      <c r="U9" s="216" t="s">
        <v>14</v>
      </c>
      <c r="V9" s="216" t="s">
        <v>15</v>
      </c>
      <c r="W9" s="232" t="s">
        <v>16</v>
      </c>
      <c r="X9" s="18">
        <v>540274945.17642701</v>
      </c>
      <c r="Z9" s="216" t="s">
        <v>17</v>
      </c>
      <c r="AA9" s="216" t="s">
        <v>18</v>
      </c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20"/>
      <c r="AP9" s="21">
        <f>P29+P33+P41+P43+P54</f>
        <v>82404427.549962014</v>
      </c>
      <c r="AR9" s="22"/>
      <c r="AS9" s="22"/>
      <c r="AW9" s="216" t="s">
        <v>17</v>
      </c>
      <c r="AX9" s="216" t="s">
        <v>19</v>
      </c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20"/>
      <c r="BM9" s="245" t="s">
        <v>17</v>
      </c>
      <c r="BN9" s="216" t="s">
        <v>19</v>
      </c>
      <c r="BO9" s="219"/>
      <c r="BP9" s="219"/>
      <c r="BQ9" s="219"/>
      <c r="BR9" s="219"/>
      <c r="BS9" s="219"/>
      <c r="BT9" s="219"/>
      <c r="BU9" s="219"/>
      <c r="BV9" s="219"/>
      <c r="BW9" s="219"/>
      <c r="BX9" s="219"/>
      <c r="BY9" s="219"/>
      <c r="BZ9" s="219"/>
      <c r="CA9" s="219"/>
      <c r="CB9" s="220"/>
    </row>
    <row r="10" spans="1:149" s="18" customFormat="1" ht="14.25" customHeight="1" x14ac:dyDescent="0.25">
      <c r="A10" s="230"/>
      <c r="B10" s="230"/>
      <c r="C10" s="233"/>
      <c r="D10" s="233"/>
      <c r="E10" s="232" t="s">
        <v>20</v>
      </c>
      <c r="F10" s="232" t="s">
        <v>21</v>
      </c>
      <c r="G10" s="233"/>
      <c r="H10" s="233"/>
      <c r="I10" s="236"/>
      <c r="J10" s="238"/>
      <c r="K10" s="225" t="s">
        <v>22</v>
      </c>
      <c r="L10" s="225" t="s">
        <v>23</v>
      </c>
      <c r="M10" s="236"/>
      <c r="N10" s="221" t="s">
        <v>24</v>
      </c>
      <c r="O10" s="221" t="s">
        <v>25</v>
      </c>
      <c r="P10" s="222"/>
      <c r="Q10" s="222"/>
      <c r="R10" s="222"/>
      <c r="S10" s="222"/>
      <c r="T10" s="223"/>
      <c r="U10" s="217"/>
      <c r="V10" s="217"/>
      <c r="W10" s="233"/>
      <c r="X10" s="22">
        <f>P14-X9</f>
        <v>2628035.2409219742</v>
      </c>
      <c r="Z10" s="217"/>
      <c r="AA10" s="216" t="s">
        <v>26</v>
      </c>
      <c r="AB10" s="219"/>
      <c r="AC10" s="219"/>
      <c r="AD10" s="219"/>
      <c r="AE10" s="219"/>
      <c r="AF10" s="219"/>
      <c r="AG10" s="220"/>
      <c r="AH10" s="216" t="s">
        <v>27</v>
      </c>
      <c r="AI10" s="216" t="s">
        <v>28</v>
      </c>
      <c r="AJ10" s="216" t="s">
        <v>29</v>
      </c>
      <c r="AK10" s="216" t="s">
        <v>30</v>
      </c>
      <c r="AL10" s="216" t="s">
        <v>31</v>
      </c>
      <c r="AM10" s="216" t="s">
        <v>32</v>
      </c>
      <c r="AN10" s="216" t="s">
        <v>33</v>
      </c>
      <c r="AO10" s="216" t="s">
        <v>34</v>
      </c>
      <c r="AP10" s="18">
        <v>540274945.17642701</v>
      </c>
      <c r="AR10" s="22"/>
      <c r="AS10" s="22"/>
      <c r="AW10" s="217"/>
      <c r="AX10" s="216" t="s">
        <v>26</v>
      </c>
      <c r="AY10" s="219"/>
      <c r="AZ10" s="219"/>
      <c r="BA10" s="219"/>
      <c r="BB10" s="219"/>
      <c r="BC10" s="219"/>
      <c r="BD10" s="220"/>
      <c r="BE10" s="216" t="s">
        <v>27</v>
      </c>
      <c r="BF10" s="216" t="s">
        <v>28</v>
      </c>
      <c r="BG10" s="216" t="s">
        <v>29</v>
      </c>
      <c r="BH10" s="216" t="s">
        <v>35</v>
      </c>
      <c r="BI10" s="216" t="s">
        <v>31</v>
      </c>
      <c r="BJ10" s="216" t="s">
        <v>36</v>
      </c>
      <c r="BK10" s="216" t="s">
        <v>33</v>
      </c>
      <c r="BL10" s="216" t="s">
        <v>34</v>
      </c>
      <c r="BM10" s="247"/>
      <c r="BN10" s="242" t="s">
        <v>26</v>
      </c>
      <c r="BO10" s="243"/>
      <c r="BP10" s="243"/>
      <c r="BQ10" s="243"/>
      <c r="BR10" s="243"/>
      <c r="BS10" s="243"/>
      <c r="BT10" s="244"/>
      <c r="BU10" s="245" t="s">
        <v>27</v>
      </c>
      <c r="BV10" s="245" t="s">
        <v>28</v>
      </c>
      <c r="BW10" s="245" t="s">
        <v>29</v>
      </c>
      <c r="BX10" s="245" t="s">
        <v>35</v>
      </c>
      <c r="BY10" s="245" t="s">
        <v>31</v>
      </c>
      <c r="BZ10" s="216" t="s">
        <v>36</v>
      </c>
      <c r="CA10" s="216" t="s">
        <v>33</v>
      </c>
      <c r="CB10" s="216" t="s">
        <v>34</v>
      </c>
    </row>
    <row r="11" spans="1:149" s="18" customFormat="1" ht="78.75" customHeight="1" x14ac:dyDescent="0.25">
      <c r="A11" s="230"/>
      <c r="B11" s="230"/>
      <c r="C11" s="233"/>
      <c r="D11" s="233"/>
      <c r="E11" s="233"/>
      <c r="F11" s="233"/>
      <c r="G11" s="233"/>
      <c r="H11" s="233"/>
      <c r="I11" s="236"/>
      <c r="J11" s="239"/>
      <c r="K11" s="239"/>
      <c r="L11" s="239"/>
      <c r="M11" s="241"/>
      <c r="N11" s="218"/>
      <c r="O11" s="20" t="s">
        <v>37</v>
      </c>
      <c r="P11" s="20" t="s">
        <v>38</v>
      </c>
      <c r="Q11" s="20" t="s">
        <v>39</v>
      </c>
      <c r="R11" s="20" t="s">
        <v>40</v>
      </c>
      <c r="S11" s="20" t="s">
        <v>41</v>
      </c>
      <c r="T11" s="20" t="s">
        <v>42</v>
      </c>
      <c r="U11" s="218"/>
      <c r="V11" s="218"/>
      <c r="W11" s="233"/>
      <c r="Z11" s="218"/>
      <c r="AA11" s="20" t="s">
        <v>43</v>
      </c>
      <c r="AB11" s="20" t="s">
        <v>44</v>
      </c>
      <c r="AC11" s="20" t="s">
        <v>45</v>
      </c>
      <c r="AD11" s="20" t="s">
        <v>46</v>
      </c>
      <c r="AE11" s="20" t="s">
        <v>47</v>
      </c>
      <c r="AF11" s="20" t="s">
        <v>48</v>
      </c>
      <c r="AG11" s="20" t="s">
        <v>49</v>
      </c>
      <c r="AH11" s="218"/>
      <c r="AI11" s="218"/>
      <c r="AJ11" s="218"/>
      <c r="AK11" s="218"/>
      <c r="AL11" s="218"/>
      <c r="AM11" s="218"/>
      <c r="AN11" s="218"/>
      <c r="AO11" s="218"/>
      <c r="AP11" s="22" t="e">
        <f>AP10-(P14+#REF!)</f>
        <v>#REF!</v>
      </c>
      <c r="AQ11" s="18" t="s">
        <v>50</v>
      </c>
      <c r="AR11" s="22" t="s">
        <v>51</v>
      </c>
      <c r="AS11" s="22" t="s">
        <v>52</v>
      </c>
      <c r="AW11" s="218"/>
      <c r="AX11" s="20" t="s">
        <v>43</v>
      </c>
      <c r="AY11" s="20" t="s">
        <v>44</v>
      </c>
      <c r="AZ11" s="20" t="s">
        <v>45</v>
      </c>
      <c r="BA11" s="20" t="s">
        <v>46</v>
      </c>
      <c r="BB11" s="20" t="s">
        <v>47</v>
      </c>
      <c r="BC11" s="20" t="s">
        <v>48</v>
      </c>
      <c r="BD11" s="20" t="s">
        <v>49</v>
      </c>
      <c r="BE11" s="218"/>
      <c r="BF11" s="218"/>
      <c r="BG11" s="218"/>
      <c r="BH11" s="218"/>
      <c r="BI11" s="218"/>
      <c r="BJ11" s="218"/>
      <c r="BK11" s="218"/>
      <c r="BL11" s="218"/>
      <c r="BM11" s="246"/>
      <c r="BN11" s="23" t="s">
        <v>43</v>
      </c>
      <c r="BO11" s="23" t="s">
        <v>53</v>
      </c>
      <c r="BP11" s="23" t="s">
        <v>45</v>
      </c>
      <c r="BQ11" s="23" t="s">
        <v>46</v>
      </c>
      <c r="BR11" s="23" t="s">
        <v>47</v>
      </c>
      <c r="BS11" s="23" t="s">
        <v>48</v>
      </c>
      <c r="BT11" s="23" t="s">
        <v>49</v>
      </c>
      <c r="BU11" s="246"/>
      <c r="BV11" s="246"/>
      <c r="BW11" s="246"/>
      <c r="BX11" s="246"/>
      <c r="BY11" s="246"/>
      <c r="BZ11" s="218"/>
      <c r="CA11" s="218"/>
      <c r="CB11" s="218"/>
    </row>
    <row r="12" spans="1:149" s="18" customFormat="1" ht="14.25" x14ac:dyDescent="0.25">
      <c r="A12" s="231"/>
      <c r="B12" s="231"/>
      <c r="C12" s="234"/>
      <c r="D12" s="234"/>
      <c r="E12" s="234"/>
      <c r="F12" s="234"/>
      <c r="G12" s="234"/>
      <c r="H12" s="234"/>
      <c r="I12" s="237"/>
      <c r="J12" s="24" t="s">
        <v>54</v>
      </c>
      <c r="K12" s="24" t="s">
        <v>54</v>
      </c>
      <c r="L12" s="24" t="s">
        <v>54</v>
      </c>
      <c r="M12" s="19" t="s">
        <v>55</v>
      </c>
      <c r="N12" s="25" t="s">
        <v>56</v>
      </c>
      <c r="O12" s="25" t="s">
        <v>56</v>
      </c>
      <c r="P12" s="25"/>
      <c r="Q12" s="25" t="s">
        <v>56</v>
      </c>
      <c r="R12" s="25" t="s">
        <v>56</v>
      </c>
      <c r="S12" s="25" t="s">
        <v>56</v>
      </c>
      <c r="T12" s="25"/>
      <c r="U12" s="25" t="s">
        <v>57</v>
      </c>
      <c r="V12" s="25" t="s">
        <v>57</v>
      </c>
      <c r="W12" s="234"/>
      <c r="Z12" s="25" t="s">
        <v>56</v>
      </c>
      <c r="AA12" s="25" t="s">
        <v>56</v>
      </c>
      <c r="AB12" s="25" t="s">
        <v>56</v>
      </c>
      <c r="AC12" s="25" t="s">
        <v>56</v>
      </c>
      <c r="AD12" s="25" t="s">
        <v>56</v>
      </c>
      <c r="AE12" s="25" t="s">
        <v>56</v>
      </c>
      <c r="AF12" s="25" t="s">
        <v>56</v>
      </c>
      <c r="AG12" s="25" t="s">
        <v>56</v>
      </c>
      <c r="AH12" s="25" t="s">
        <v>56</v>
      </c>
      <c r="AI12" s="25" t="s">
        <v>56</v>
      </c>
      <c r="AJ12" s="25" t="s">
        <v>56</v>
      </c>
      <c r="AK12" s="25" t="s">
        <v>56</v>
      </c>
      <c r="AL12" s="25" t="s">
        <v>56</v>
      </c>
      <c r="AM12" s="25" t="s">
        <v>56</v>
      </c>
      <c r="AN12" s="25" t="s">
        <v>56</v>
      </c>
      <c r="AO12" s="25" t="s">
        <v>56</v>
      </c>
      <c r="AR12" s="22"/>
      <c r="AS12" s="22"/>
      <c r="AW12" s="20" t="s">
        <v>56</v>
      </c>
      <c r="AX12" s="20" t="s">
        <v>56</v>
      </c>
      <c r="AY12" s="20" t="s">
        <v>56</v>
      </c>
      <c r="AZ12" s="20" t="s">
        <v>56</v>
      </c>
      <c r="BA12" s="20" t="s">
        <v>56</v>
      </c>
      <c r="BB12" s="20" t="s">
        <v>56</v>
      </c>
      <c r="BC12" s="20" t="s">
        <v>56</v>
      </c>
      <c r="BD12" s="20" t="s">
        <v>56</v>
      </c>
      <c r="BE12" s="20" t="s">
        <v>56</v>
      </c>
      <c r="BF12" s="20" t="s">
        <v>56</v>
      </c>
      <c r="BG12" s="20" t="s">
        <v>56</v>
      </c>
      <c r="BH12" s="20" t="s">
        <v>56</v>
      </c>
      <c r="BI12" s="20" t="s">
        <v>56</v>
      </c>
      <c r="BJ12" s="20" t="s">
        <v>56</v>
      </c>
      <c r="BK12" s="20" t="s">
        <v>56</v>
      </c>
      <c r="BL12" s="20" t="s">
        <v>56</v>
      </c>
      <c r="BM12" s="23" t="s">
        <v>56</v>
      </c>
      <c r="BN12" s="20" t="s">
        <v>56</v>
      </c>
      <c r="BO12" s="20" t="s">
        <v>56</v>
      </c>
      <c r="BP12" s="20" t="s">
        <v>56</v>
      </c>
      <c r="BQ12" s="20" t="s">
        <v>56</v>
      </c>
      <c r="BR12" s="20" t="s">
        <v>56</v>
      </c>
      <c r="BS12" s="20" t="s">
        <v>56</v>
      </c>
      <c r="BT12" s="20" t="s">
        <v>56</v>
      </c>
      <c r="BU12" s="20" t="s">
        <v>56</v>
      </c>
      <c r="BV12" s="20" t="s">
        <v>56</v>
      </c>
      <c r="BW12" s="20" t="s">
        <v>56</v>
      </c>
      <c r="BX12" s="20" t="s">
        <v>56</v>
      </c>
      <c r="BY12" s="20" t="s">
        <v>56</v>
      </c>
      <c r="BZ12" s="20" t="s">
        <v>56</v>
      </c>
      <c r="CA12" s="20" t="s">
        <v>56</v>
      </c>
      <c r="CB12" s="20" t="s">
        <v>56</v>
      </c>
    </row>
    <row r="13" spans="1:149" s="26" customFormat="1" ht="15" customHeight="1" x14ac:dyDescent="0.25">
      <c r="A13" s="27"/>
      <c r="B13" s="28"/>
      <c r="C13" s="29"/>
      <c r="D13" s="30" t="s">
        <v>58</v>
      </c>
      <c r="E13" s="31"/>
      <c r="F13" s="30"/>
      <c r="G13" s="32"/>
      <c r="H13" s="32"/>
      <c r="I13" s="33"/>
      <c r="J13" s="34"/>
      <c r="K13" s="35"/>
      <c r="L13" s="35"/>
      <c r="M13" s="36"/>
      <c r="N13" s="37">
        <f t="shared" ref="N13:T13" si="0">N14+N206+N481</f>
        <v>8602179743.4690437</v>
      </c>
      <c r="O13" s="37">
        <f t="shared" si="0"/>
        <v>0</v>
      </c>
      <c r="P13" s="37">
        <f t="shared" si="0"/>
        <v>1737642119.0193052</v>
      </c>
      <c r="Q13" s="37">
        <f t="shared" si="0"/>
        <v>24345044.41</v>
      </c>
      <c r="R13" s="37">
        <f t="shared" si="0"/>
        <v>1182963514.8167982</v>
      </c>
      <c r="S13" s="37">
        <f t="shared" si="0"/>
        <v>3978284269.3398333</v>
      </c>
      <c r="T13" s="37">
        <f t="shared" si="0"/>
        <v>1678944795.8931031</v>
      </c>
      <c r="U13" s="38"/>
      <c r="V13" s="38"/>
      <c r="W13" s="32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R13" s="39"/>
      <c r="AS13" s="39"/>
      <c r="AW13" s="40">
        <f t="shared" ref="AW13:CB13" si="1">+AW14+AW207+AW481</f>
        <v>9382162946.1283684</v>
      </c>
      <c r="AX13" s="40">
        <f t="shared" si="1"/>
        <v>1625245795.5128708</v>
      </c>
      <c r="AY13" s="40">
        <f t="shared" si="1"/>
        <v>522390264.71997261</v>
      </c>
      <c r="AZ13" s="40">
        <f t="shared" si="1"/>
        <v>677235172.80608511</v>
      </c>
      <c r="BA13" s="40">
        <f t="shared" si="1"/>
        <v>451096141.70623791</v>
      </c>
      <c r="BB13" s="40">
        <f t="shared" si="1"/>
        <v>114022683.66650188</v>
      </c>
      <c r="BC13" s="40">
        <f t="shared" si="1"/>
        <v>0</v>
      </c>
      <c r="BD13" s="40">
        <f t="shared" si="1"/>
        <v>46313028.042897195</v>
      </c>
      <c r="BE13" s="40">
        <f t="shared" si="1"/>
        <v>325927110.33434141</v>
      </c>
      <c r="BF13" s="40">
        <f t="shared" si="1"/>
        <v>1684267297.4977803</v>
      </c>
      <c r="BG13" s="40">
        <f t="shared" si="1"/>
        <v>267568652.89284247</v>
      </c>
      <c r="BH13" s="40">
        <f t="shared" si="1"/>
        <v>2056155819.3445733</v>
      </c>
      <c r="BI13" s="40">
        <f t="shared" si="1"/>
        <v>977062309.18072903</v>
      </c>
      <c r="BJ13" s="40">
        <f t="shared" si="1"/>
        <v>188493273.68442327</v>
      </c>
      <c r="BK13" s="40">
        <f t="shared" si="1"/>
        <v>19587913.950926393</v>
      </c>
      <c r="BL13" s="40">
        <f t="shared" si="1"/>
        <v>274941356.14818668</v>
      </c>
      <c r="BM13" s="41">
        <f t="shared" si="1"/>
        <v>8975048422.2202053</v>
      </c>
      <c r="BN13" s="40">
        <f t="shared" si="1"/>
        <v>1561702306.4988716</v>
      </c>
      <c r="BO13" s="40">
        <f t="shared" si="1"/>
        <v>500383547.76425242</v>
      </c>
      <c r="BP13" s="40">
        <f t="shared" si="1"/>
        <v>643521955.86663938</v>
      </c>
      <c r="BQ13" s="40">
        <f t="shared" si="1"/>
        <v>438484328.66764212</v>
      </c>
      <c r="BR13" s="40">
        <f t="shared" si="1"/>
        <v>113834199.89196485</v>
      </c>
      <c r="BS13" s="40">
        <f t="shared" si="1"/>
        <v>0</v>
      </c>
      <c r="BT13" s="40">
        <f t="shared" si="1"/>
        <v>46425681.843832269</v>
      </c>
      <c r="BU13" s="40">
        <f t="shared" si="1"/>
        <v>325927110.3443414</v>
      </c>
      <c r="BV13" s="40">
        <f t="shared" si="1"/>
        <v>1528082281.3187289</v>
      </c>
      <c r="BW13" s="40">
        <f t="shared" si="1"/>
        <v>266679570.91284245</v>
      </c>
      <c r="BX13" s="40">
        <f t="shared" si="1"/>
        <v>1996966105.8075833</v>
      </c>
      <c r="BY13" s="40">
        <f t="shared" si="1"/>
        <v>917981600.2936908</v>
      </c>
      <c r="BZ13" s="40">
        <f t="shared" si="1"/>
        <v>188665502.70442331</v>
      </c>
      <c r="CA13" s="40">
        <f t="shared" si="1"/>
        <v>19587913.950926393</v>
      </c>
      <c r="CB13" s="40">
        <f t="shared" si="1"/>
        <v>274950189.71446693</v>
      </c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</row>
    <row r="14" spans="1:149" s="42" customFormat="1" ht="18.75" customHeight="1" x14ac:dyDescent="0.25">
      <c r="A14" s="43"/>
      <c r="B14" s="44"/>
      <c r="C14" s="44"/>
      <c r="D14" s="44" t="s">
        <v>59</v>
      </c>
      <c r="E14" s="44"/>
      <c r="F14" s="44"/>
      <c r="G14" s="44"/>
      <c r="H14" s="44"/>
      <c r="I14" s="44"/>
      <c r="J14" s="45">
        <f>SUM(J18:J205)</f>
        <v>737192.31</v>
      </c>
      <c r="K14" s="45">
        <f>SUM(K18:K205)</f>
        <v>609716.5900000002</v>
      </c>
      <c r="L14" s="45">
        <f>SUM(L18:L205)</f>
        <v>49272.189999999995</v>
      </c>
      <c r="M14" s="45">
        <f>SUM(M18:M205)</f>
        <v>26756</v>
      </c>
      <c r="N14" s="37">
        <f t="shared" ref="N14:T14" si="2">N15+N16+N17</f>
        <v>1900672841.2825899</v>
      </c>
      <c r="O14" s="37">
        <f t="shared" si="2"/>
        <v>0</v>
      </c>
      <c r="P14" s="37">
        <f t="shared" si="2"/>
        <v>542902980.41734898</v>
      </c>
      <c r="Q14" s="37">
        <f t="shared" si="2"/>
        <v>2000000</v>
      </c>
      <c r="R14" s="37">
        <f t="shared" si="2"/>
        <v>265750711.49575201</v>
      </c>
      <c r="S14" s="37">
        <f t="shared" si="2"/>
        <v>867517772.29638302</v>
      </c>
      <c r="T14" s="37">
        <f t="shared" si="2"/>
        <v>222501377.07310301</v>
      </c>
      <c r="U14" s="45"/>
      <c r="V14" s="45"/>
      <c r="W14" s="45"/>
      <c r="X14" s="45" t="e">
        <f>+#REF!+#REF!+#REF!+#REF!+#REF!+#REF!</f>
        <v>#REF!</v>
      </c>
      <c r="Y14" s="45" t="e">
        <f>+#REF!+#REF!+#REF!+#REF!+#REF!+#REF!</f>
        <v>#REF!</v>
      </c>
      <c r="Z14" s="45" t="e">
        <f>+#REF!+#REF!+#REF!+#REF!+#REF!+#REF!</f>
        <v>#REF!</v>
      </c>
      <c r="AA14" s="45" t="e">
        <f>+#REF!+#REF!+#REF!+#REF!+#REF!+#REF!</f>
        <v>#REF!</v>
      </c>
      <c r="AB14" s="45" t="e">
        <f>+#REF!+#REF!+#REF!+#REF!+#REF!+#REF!</f>
        <v>#REF!</v>
      </c>
      <c r="AC14" s="45" t="e">
        <f>+#REF!+#REF!+#REF!+#REF!+#REF!+#REF!</f>
        <v>#REF!</v>
      </c>
      <c r="AD14" s="45" t="e">
        <f>+#REF!+#REF!+#REF!+#REF!+#REF!+#REF!</f>
        <v>#REF!</v>
      </c>
      <c r="AE14" s="45" t="e">
        <f>+#REF!+#REF!+#REF!+#REF!+#REF!+#REF!</f>
        <v>#REF!</v>
      </c>
      <c r="AF14" s="45" t="e">
        <f>+#REF!+#REF!+#REF!+#REF!+#REF!+#REF!</f>
        <v>#REF!</v>
      </c>
      <c r="AG14" s="45" t="e">
        <f>+#REF!+#REF!+#REF!+#REF!+#REF!+#REF!</f>
        <v>#REF!</v>
      </c>
      <c r="AH14" s="45" t="e">
        <f>+#REF!+#REF!+#REF!+#REF!+#REF!+#REF!</f>
        <v>#REF!</v>
      </c>
      <c r="AI14" s="45" t="e">
        <f>+#REF!+#REF!+#REF!+#REF!+#REF!+#REF!</f>
        <v>#REF!</v>
      </c>
      <c r="AJ14" s="45" t="e">
        <f>+#REF!+#REF!+#REF!+#REF!+#REF!+#REF!</f>
        <v>#REF!</v>
      </c>
      <c r="AK14" s="45" t="e">
        <f>+#REF!+#REF!+#REF!+#REF!+#REF!+#REF!</f>
        <v>#REF!</v>
      </c>
      <c r="AL14" s="45" t="e">
        <f>+#REF!+#REF!+#REF!+#REF!+#REF!+#REF!</f>
        <v>#REF!</v>
      </c>
      <c r="AM14" s="45" t="e">
        <f>+#REF!+#REF!+#REF!+#REF!+#REF!+#REF!</f>
        <v>#REF!</v>
      </c>
      <c r="AN14" s="45" t="e">
        <f>+#REF!+#REF!+#REF!+#REF!+#REF!+#REF!</f>
        <v>#REF!</v>
      </c>
      <c r="AO14" s="45" t="e">
        <f>+#REF!+#REF!+#REF!+#REF!+#REF!+#REF!</f>
        <v>#REF!</v>
      </c>
      <c r="AP14" s="46">
        <f>+N14-'Приложение №2'!E14</f>
        <v>2.1457672119140625E-6</v>
      </c>
      <c r="AR14" s="47"/>
      <c r="AS14" s="47"/>
      <c r="AW14" s="45">
        <f>SUM(AX14:BL14)+AW15+AW16</f>
        <v>1905211449.3063071</v>
      </c>
      <c r="AX14" s="45">
        <f t="shared" ref="AX14:BL14" si="3">+AX15+AX17</f>
        <v>261418719.91</v>
      </c>
      <c r="AY14" s="45">
        <f t="shared" si="3"/>
        <v>92211687.10999997</v>
      </c>
      <c r="AZ14" s="45">
        <f t="shared" si="3"/>
        <v>91010822.590000033</v>
      </c>
      <c r="BA14" s="45">
        <f t="shared" si="3"/>
        <v>100780746.21000001</v>
      </c>
      <c r="BB14" s="45">
        <f t="shared" si="3"/>
        <v>20726332.382261999</v>
      </c>
      <c r="BC14" s="45">
        <f t="shared" si="3"/>
        <v>0</v>
      </c>
      <c r="BD14" s="45">
        <f t="shared" si="3"/>
        <v>0</v>
      </c>
      <c r="BE14" s="45">
        <f t="shared" si="3"/>
        <v>28694966.400000002</v>
      </c>
      <c r="BF14" s="45">
        <f t="shared" si="3"/>
        <v>417243389.46806598</v>
      </c>
      <c r="BG14" s="45">
        <f t="shared" si="3"/>
        <v>79372152.859999985</v>
      </c>
      <c r="BH14" s="45">
        <f t="shared" si="3"/>
        <v>386032575.02000004</v>
      </c>
      <c r="BI14" s="45">
        <f t="shared" si="3"/>
        <v>162824150.38999999</v>
      </c>
      <c r="BJ14" s="45">
        <f t="shared" si="3"/>
        <v>44622520.010968477</v>
      </c>
      <c r="BK14" s="45">
        <f t="shared" si="3"/>
        <v>3686982.5281604878</v>
      </c>
      <c r="BL14" s="45">
        <f t="shared" si="3"/>
        <v>64730277.78685049</v>
      </c>
      <c r="BM14" s="48">
        <f>SUM(BN14:CB14)+BM15+BM16</f>
        <v>1905220282.8825877</v>
      </c>
      <c r="BN14" s="45">
        <f t="shared" ref="BN14:CB14" si="4">+BN15+BN17</f>
        <v>261418719.91</v>
      </c>
      <c r="BO14" s="45">
        <f t="shared" si="4"/>
        <v>92211687.10999997</v>
      </c>
      <c r="BP14" s="45">
        <f t="shared" si="4"/>
        <v>91010822.590000033</v>
      </c>
      <c r="BQ14" s="45">
        <f t="shared" si="4"/>
        <v>100780746.21000001</v>
      </c>
      <c r="BR14" s="45">
        <f t="shared" si="4"/>
        <v>20726332.382261999</v>
      </c>
      <c r="BS14" s="45">
        <f t="shared" si="4"/>
        <v>0</v>
      </c>
      <c r="BT14" s="45">
        <f t="shared" si="4"/>
        <v>0</v>
      </c>
      <c r="BU14" s="45">
        <f t="shared" si="4"/>
        <v>28694966.41</v>
      </c>
      <c r="BV14" s="45">
        <f t="shared" si="4"/>
        <v>417243389.46806598</v>
      </c>
      <c r="BW14" s="45">
        <f t="shared" si="4"/>
        <v>79372152.859999985</v>
      </c>
      <c r="BX14" s="45">
        <f t="shared" si="4"/>
        <v>386032575.02000004</v>
      </c>
      <c r="BY14" s="45">
        <f t="shared" si="4"/>
        <v>162824150.38999999</v>
      </c>
      <c r="BZ14" s="45">
        <f t="shared" si="4"/>
        <v>44622520.010968477</v>
      </c>
      <c r="CA14" s="45">
        <f t="shared" si="4"/>
        <v>3686982.5281604878</v>
      </c>
      <c r="CB14" s="45">
        <f t="shared" si="4"/>
        <v>64739111.35313078</v>
      </c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</row>
    <row r="15" spans="1:149" s="42" customFormat="1" x14ac:dyDescent="0.25">
      <c r="A15" s="43"/>
      <c r="B15" s="44"/>
      <c r="C15" s="44"/>
      <c r="D15" s="44" t="s">
        <v>60</v>
      </c>
      <c r="E15" s="44"/>
      <c r="F15" s="44"/>
      <c r="G15" s="44"/>
      <c r="H15" s="44"/>
      <c r="I15" s="44"/>
      <c r="J15" s="45"/>
      <c r="K15" s="45"/>
      <c r="L15" s="45"/>
      <c r="M15" s="45"/>
      <c r="N15" s="37">
        <v>147308685.03999999</v>
      </c>
      <c r="O15" s="45"/>
      <c r="P15" s="45">
        <v>147308685.03999999</v>
      </c>
      <c r="Q15" s="45"/>
      <c r="R15" s="45"/>
      <c r="S15" s="45"/>
      <c r="T15" s="45"/>
      <c r="U15" s="45"/>
      <c r="V15" s="45"/>
      <c r="W15" s="50"/>
      <c r="X15" s="51"/>
      <c r="Y15" s="51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50"/>
      <c r="AP15" s="46"/>
      <c r="AR15" s="47"/>
      <c r="AS15" s="47"/>
      <c r="AW15" s="45">
        <v>147308685.03999999</v>
      </c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50"/>
      <c r="BM15" s="48">
        <v>147308685.03999999</v>
      </c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50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</row>
    <row r="16" spans="1:149" s="42" customFormat="1" x14ac:dyDescent="0.25">
      <c r="A16" s="44"/>
      <c r="B16" s="44"/>
      <c r="C16" s="44"/>
      <c r="D16" s="44" t="s">
        <v>61</v>
      </c>
      <c r="E16" s="44"/>
      <c r="F16" s="44"/>
      <c r="G16" s="44"/>
      <c r="H16" s="44"/>
      <c r="I16" s="44"/>
      <c r="J16" s="45"/>
      <c r="K16" s="45"/>
      <c r="L16" s="45"/>
      <c r="M16" s="45"/>
      <c r="N16" s="37">
        <f t="shared" ref="N16:T16" si="5">4547441.6-4547441.6</f>
        <v>0</v>
      </c>
      <c r="O16" s="37">
        <f t="shared" si="5"/>
        <v>0</v>
      </c>
      <c r="P16" s="37">
        <f t="shared" si="5"/>
        <v>0</v>
      </c>
      <c r="Q16" s="37">
        <f t="shared" si="5"/>
        <v>0</v>
      </c>
      <c r="R16" s="37">
        <f t="shared" si="5"/>
        <v>0</v>
      </c>
      <c r="S16" s="37">
        <f t="shared" si="5"/>
        <v>0</v>
      </c>
      <c r="T16" s="37">
        <f t="shared" si="5"/>
        <v>0</v>
      </c>
      <c r="U16" s="45"/>
      <c r="V16" s="45"/>
      <c r="W16" s="45"/>
      <c r="X16" s="51"/>
      <c r="Y16" s="51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50"/>
      <c r="AP16" s="46"/>
      <c r="AR16" s="47"/>
      <c r="AS16" s="47"/>
      <c r="AW16" s="45">
        <v>4547441.5999999996</v>
      </c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50"/>
      <c r="BM16" s="48">
        <v>4547441.5999999996</v>
      </c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50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</row>
    <row r="17" spans="1:149" s="42" customFormat="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5"/>
      <c r="K17" s="45"/>
      <c r="L17" s="45"/>
      <c r="M17" s="45"/>
      <c r="N17" s="37">
        <v>1753364156.24259</v>
      </c>
      <c r="O17" s="45"/>
      <c r="P17" s="45">
        <v>395594295.37734902</v>
      </c>
      <c r="Q17" s="45">
        <v>2000000</v>
      </c>
      <c r="R17" s="45">
        <v>265750711.49575201</v>
      </c>
      <c r="S17" s="45">
        <v>867517772.29638302</v>
      </c>
      <c r="T17" s="45">
        <v>222501377.07310301</v>
      </c>
      <c r="U17" s="45"/>
      <c r="V17" s="45"/>
      <c r="W17" s="45"/>
      <c r="X17" s="51"/>
      <c r="Y17" s="51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50"/>
      <c r="AP17" s="46"/>
      <c r="AR17" s="47"/>
      <c r="AS17" s="47"/>
      <c r="AW17" s="45">
        <f t="shared" ref="AW17:CB17" si="6">SUM(AW18:AW205)</f>
        <v>1753355322.6663084</v>
      </c>
      <c r="AX17" s="45">
        <f t="shared" si="6"/>
        <v>261418719.91</v>
      </c>
      <c r="AY17" s="45">
        <f t="shared" si="6"/>
        <v>92211687.10999997</v>
      </c>
      <c r="AZ17" s="45">
        <f t="shared" si="6"/>
        <v>91010822.590000033</v>
      </c>
      <c r="BA17" s="45">
        <f t="shared" si="6"/>
        <v>100780746.21000001</v>
      </c>
      <c r="BB17" s="45">
        <f t="shared" si="6"/>
        <v>20726332.382261999</v>
      </c>
      <c r="BC17" s="45">
        <f t="shared" si="6"/>
        <v>0</v>
      </c>
      <c r="BD17" s="45">
        <f t="shared" si="6"/>
        <v>0</v>
      </c>
      <c r="BE17" s="45">
        <f t="shared" si="6"/>
        <v>28694966.400000002</v>
      </c>
      <c r="BF17" s="45">
        <f t="shared" si="6"/>
        <v>417243389.46806598</v>
      </c>
      <c r="BG17" s="45">
        <f t="shared" si="6"/>
        <v>79372152.859999985</v>
      </c>
      <c r="BH17" s="45">
        <f t="shared" si="6"/>
        <v>386032575.02000004</v>
      </c>
      <c r="BI17" s="45">
        <f t="shared" si="6"/>
        <v>162824150.38999999</v>
      </c>
      <c r="BJ17" s="45">
        <f t="shared" si="6"/>
        <v>44622520.010968477</v>
      </c>
      <c r="BK17" s="45">
        <f t="shared" si="6"/>
        <v>3686982.5281604878</v>
      </c>
      <c r="BL17" s="45">
        <f t="shared" si="6"/>
        <v>64730277.78685049</v>
      </c>
      <c r="BM17" s="48">
        <f t="shared" si="6"/>
        <v>1753364156.2425888</v>
      </c>
      <c r="BN17" s="45">
        <f t="shared" si="6"/>
        <v>261418719.91</v>
      </c>
      <c r="BO17" s="45">
        <f t="shared" si="6"/>
        <v>92211687.10999997</v>
      </c>
      <c r="BP17" s="45">
        <f t="shared" si="6"/>
        <v>91010822.590000033</v>
      </c>
      <c r="BQ17" s="45">
        <f t="shared" si="6"/>
        <v>100780746.21000001</v>
      </c>
      <c r="BR17" s="45">
        <f t="shared" si="6"/>
        <v>20726332.382261999</v>
      </c>
      <c r="BS17" s="45">
        <f t="shared" si="6"/>
        <v>0</v>
      </c>
      <c r="BT17" s="45">
        <f t="shared" si="6"/>
        <v>0</v>
      </c>
      <c r="BU17" s="45">
        <f t="shared" si="6"/>
        <v>28694966.41</v>
      </c>
      <c r="BV17" s="45">
        <f t="shared" si="6"/>
        <v>417243389.46806598</v>
      </c>
      <c r="BW17" s="45">
        <f t="shared" si="6"/>
        <v>79372152.859999985</v>
      </c>
      <c r="BX17" s="45">
        <f t="shared" si="6"/>
        <v>386032575.02000004</v>
      </c>
      <c r="BY17" s="45">
        <f t="shared" si="6"/>
        <v>162824150.38999999</v>
      </c>
      <c r="BZ17" s="45">
        <f t="shared" si="6"/>
        <v>44622520.010968477</v>
      </c>
      <c r="CA17" s="45">
        <f t="shared" si="6"/>
        <v>3686982.5281604878</v>
      </c>
      <c r="CB17" s="45">
        <f t="shared" si="6"/>
        <v>64739111.35313078</v>
      </c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</row>
    <row r="18" spans="1:149" x14ac:dyDescent="0.25">
      <c r="A18" s="52">
        <v>1</v>
      </c>
      <c r="B18" s="53">
        <v>1</v>
      </c>
      <c r="C18" s="53" t="s">
        <v>62</v>
      </c>
      <c r="D18" s="53" t="s">
        <v>63</v>
      </c>
      <c r="E18" s="54">
        <v>1981</v>
      </c>
      <c r="F18" s="54">
        <v>2011</v>
      </c>
      <c r="G18" s="54" t="s">
        <v>64</v>
      </c>
      <c r="H18" s="54">
        <v>5</v>
      </c>
      <c r="I18" s="54">
        <v>6</v>
      </c>
      <c r="J18" s="55">
        <v>5474.4</v>
      </c>
      <c r="K18" s="55">
        <v>4591</v>
      </c>
      <c r="L18" s="55">
        <v>74.8</v>
      </c>
      <c r="M18" s="56">
        <v>142</v>
      </c>
      <c r="N18" s="57">
        <v>35883420.9026604</v>
      </c>
      <c r="O18" s="58"/>
      <c r="P18" s="55">
        <v>6584690.7694666702</v>
      </c>
      <c r="Q18" s="55">
        <v>1000000</v>
      </c>
      <c r="R18" s="55">
        <v>2702980.2694666702</v>
      </c>
      <c r="S18" s="55">
        <v>21119848.48</v>
      </c>
      <c r="T18" s="55">
        <v>4475901.3837270504</v>
      </c>
      <c r="U18" s="55">
        <v>7690.7327580823003</v>
      </c>
      <c r="V18" s="55">
        <v>7690.7327580823003</v>
      </c>
      <c r="W18" s="59">
        <v>2022</v>
      </c>
      <c r="X18" s="6" t="e">
        <v>#REF!</v>
      </c>
      <c r="Z18" s="57">
        <f t="shared" ref="Z18:Z48" si="7">SUM(AA18:AO18)</f>
        <v>55434949.759063035</v>
      </c>
      <c r="AA18" s="55">
        <v>13084371.274765201</v>
      </c>
      <c r="AB18" s="55">
        <v>6792071.8799999999</v>
      </c>
      <c r="AC18" s="55"/>
      <c r="AD18" s="55">
        <v>2807007.18</v>
      </c>
      <c r="AE18" s="55">
        <v>0</v>
      </c>
      <c r="AF18" s="55"/>
      <c r="AG18" s="55">
        <v>422606.152063669</v>
      </c>
      <c r="AH18" s="55">
        <v>0</v>
      </c>
      <c r="AI18" s="55">
        <v>18902393.0483955</v>
      </c>
      <c r="AJ18" s="55">
        <v>8467593.2400000002</v>
      </c>
      <c r="AK18" s="55">
        <v>0</v>
      </c>
      <c r="AL18" s="55">
        <v>0</v>
      </c>
      <c r="AM18" s="55">
        <v>3733539.2883253898</v>
      </c>
      <c r="AN18" s="55">
        <v>375954.61581589002</v>
      </c>
      <c r="AO18" s="60">
        <v>849413.07969738205</v>
      </c>
      <c r="AP18" s="61">
        <f>+N18-'Приложение №2'!E18</f>
        <v>0</v>
      </c>
      <c r="AQ18" s="1">
        <v>2359832.7200000002</v>
      </c>
      <c r="AR18" s="3">
        <f t="shared" ref="AR18:AR27" si="8">+(K18*10+L18*20)*12*0.85</f>
        <v>483541.2</v>
      </c>
      <c r="AS18" s="3">
        <f t="shared" ref="AS18:AS26" si="9">+(K18*10+L18*20)*12*30</f>
        <v>17066160</v>
      </c>
      <c r="AT18" s="6">
        <f t="shared" ref="AT18:AT28" si="10">+S18-AS18</f>
        <v>4053688.4800000004</v>
      </c>
      <c r="AW18" s="62">
        <f t="shared" ref="AW18:AW49" si="11">SUBTOTAL(9, AX18:BL18)</f>
        <v>35883420.902660385</v>
      </c>
      <c r="AX18" s="55">
        <v>11937105.199999999</v>
      </c>
      <c r="AY18" s="55">
        <v>7031659.7400000002</v>
      </c>
      <c r="AZ18" s="55"/>
      <c r="BA18" s="55">
        <v>2917316.85</v>
      </c>
      <c r="BB18" s="55">
        <v>0</v>
      </c>
      <c r="BC18" s="55"/>
      <c r="BD18" s="55"/>
      <c r="BE18" s="55">
        <v>0</v>
      </c>
      <c r="BF18" s="55">
        <v>4693934.4000000004</v>
      </c>
      <c r="BG18" s="55">
        <v>8467593.2400000002</v>
      </c>
      <c r="BH18" s="55">
        <v>0</v>
      </c>
      <c r="BI18" s="55">
        <v>0</v>
      </c>
      <c r="BJ18" s="55"/>
      <c r="BK18" s="63"/>
      <c r="BL18" s="64">
        <v>835811.47266038705</v>
      </c>
      <c r="BM18" s="8">
        <f t="shared" ref="BM18:BM49" si="12">SUBTOTAL(9, BN18:CB18)</f>
        <v>35883420.902660385</v>
      </c>
      <c r="BN18" s="55">
        <v>11937105.199999999</v>
      </c>
      <c r="BO18" s="55">
        <v>7031659.7400000002</v>
      </c>
      <c r="BP18" s="55"/>
      <c r="BQ18" s="55">
        <v>2917316.85</v>
      </c>
      <c r="BR18" s="55">
        <v>0</v>
      </c>
      <c r="BS18" s="55"/>
      <c r="BT18" s="55"/>
      <c r="BU18" s="55">
        <v>0</v>
      </c>
      <c r="BV18" s="55">
        <v>4693934.4000000004</v>
      </c>
      <c r="BW18" s="55">
        <v>8467593.2400000002</v>
      </c>
      <c r="BX18" s="55">
        <v>0</v>
      </c>
      <c r="BY18" s="55">
        <v>0</v>
      </c>
      <c r="BZ18" s="55"/>
      <c r="CA18" s="63"/>
      <c r="CB18" s="64">
        <v>835811.47266038705</v>
      </c>
    </row>
    <row r="19" spans="1:149" x14ac:dyDescent="0.25">
      <c r="A19" s="52">
        <f t="shared" ref="A19:A50" si="13">+A18+1</f>
        <v>2</v>
      </c>
      <c r="B19" s="53">
        <f t="shared" ref="B19:B50" si="14">+B18+1</f>
        <v>2</v>
      </c>
      <c r="C19" s="53" t="s">
        <v>62</v>
      </c>
      <c r="D19" s="53" t="s">
        <v>65</v>
      </c>
      <c r="E19" s="54">
        <v>1982</v>
      </c>
      <c r="F19" s="54">
        <v>2011</v>
      </c>
      <c r="G19" s="54" t="s">
        <v>64</v>
      </c>
      <c r="H19" s="54">
        <v>5</v>
      </c>
      <c r="I19" s="54">
        <v>6</v>
      </c>
      <c r="J19" s="55">
        <v>4657</v>
      </c>
      <c r="K19" s="55">
        <v>4657</v>
      </c>
      <c r="L19" s="55">
        <v>0</v>
      </c>
      <c r="M19" s="56">
        <v>172</v>
      </c>
      <c r="N19" s="57">
        <v>34138401.5</v>
      </c>
      <c r="O19" s="58"/>
      <c r="P19" s="55">
        <v>4521209.8099999996</v>
      </c>
      <c r="Q19" s="55">
        <v>1000000</v>
      </c>
      <c r="R19" s="55">
        <v>2932021.84</v>
      </c>
      <c r="S19" s="55">
        <v>16765200</v>
      </c>
      <c r="T19" s="55">
        <v>8919969.8499999996</v>
      </c>
      <c r="U19" s="55">
        <v>7330.55647412497</v>
      </c>
      <c r="V19" s="55">
        <v>7330.55647412497</v>
      </c>
      <c r="W19" s="59">
        <v>2022</v>
      </c>
      <c r="X19" s="6" t="e">
        <v>#REF!</v>
      </c>
      <c r="Z19" s="57">
        <f t="shared" si="7"/>
        <v>55631222.155762009</v>
      </c>
      <c r="AA19" s="55">
        <v>13087181.5523216</v>
      </c>
      <c r="AB19" s="55">
        <v>6304509.4247438302</v>
      </c>
      <c r="AC19" s="55"/>
      <c r="AD19" s="55">
        <v>2789523</v>
      </c>
      <c r="AE19" s="55">
        <v>0</v>
      </c>
      <c r="AF19" s="55"/>
      <c r="AG19" s="55">
        <v>422696.91993928101</v>
      </c>
      <c r="AH19" s="55">
        <v>0</v>
      </c>
      <c r="AI19" s="55">
        <v>18906452.927913599</v>
      </c>
      <c r="AJ19" s="55">
        <v>8471863.8000000007</v>
      </c>
      <c r="AK19" s="55">
        <v>0</v>
      </c>
      <c r="AL19" s="55">
        <v>0</v>
      </c>
      <c r="AM19" s="55">
        <v>4266399.7839222103</v>
      </c>
      <c r="AN19" s="55">
        <v>445086.13631034002</v>
      </c>
      <c r="AO19" s="60">
        <v>937508.61061115097</v>
      </c>
      <c r="AP19" s="61">
        <f>+N19-'Приложение №2'!E19</f>
        <v>0</v>
      </c>
      <c r="AQ19" s="1">
        <v>2457007.84</v>
      </c>
      <c r="AR19" s="3">
        <f t="shared" si="8"/>
        <v>475014</v>
      </c>
      <c r="AS19" s="3">
        <f t="shared" si="9"/>
        <v>16765200</v>
      </c>
      <c r="AT19" s="6">
        <f t="shared" si="10"/>
        <v>0</v>
      </c>
      <c r="AW19" s="62">
        <f t="shared" si="11"/>
        <v>34138401.5</v>
      </c>
      <c r="AX19" s="55">
        <v>10136488.119999999</v>
      </c>
      <c r="AY19" s="55">
        <v>6838744.3399999999</v>
      </c>
      <c r="AZ19" s="55"/>
      <c r="BA19" s="55">
        <v>2920060.1</v>
      </c>
      <c r="BB19" s="55">
        <v>0</v>
      </c>
      <c r="BC19" s="55"/>
      <c r="BD19" s="55"/>
      <c r="BE19" s="55">
        <v>0</v>
      </c>
      <c r="BF19" s="55">
        <v>4839492</v>
      </c>
      <c r="BG19" s="55">
        <v>8471863.8000000007</v>
      </c>
      <c r="BH19" s="55">
        <v>0</v>
      </c>
      <c r="BI19" s="55">
        <v>0</v>
      </c>
      <c r="BJ19" s="55"/>
      <c r="BK19" s="63"/>
      <c r="BL19" s="64">
        <v>931753.14</v>
      </c>
      <c r="BM19" s="8">
        <f t="shared" si="12"/>
        <v>34138401.5</v>
      </c>
      <c r="BN19" s="55">
        <v>10136488.119999999</v>
      </c>
      <c r="BO19" s="55">
        <v>6838744.3399999999</v>
      </c>
      <c r="BP19" s="55"/>
      <c r="BQ19" s="55">
        <v>2920060.1</v>
      </c>
      <c r="BR19" s="55">
        <v>0</v>
      </c>
      <c r="BS19" s="55"/>
      <c r="BT19" s="55"/>
      <c r="BU19" s="55">
        <v>0</v>
      </c>
      <c r="BV19" s="55">
        <v>4839492</v>
      </c>
      <c r="BW19" s="55">
        <v>8471863.8000000007</v>
      </c>
      <c r="BX19" s="55">
        <v>0</v>
      </c>
      <c r="BY19" s="55">
        <v>0</v>
      </c>
      <c r="BZ19" s="55"/>
      <c r="CA19" s="63"/>
      <c r="CB19" s="64">
        <v>931753.14</v>
      </c>
    </row>
    <row r="20" spans="1:149" x14ac:dyDescent="0.25">
      <c r="A20" s="52">
        <f t="shared" si="13"/>
        <v>3</v>
      </c>
      <c r="B20" s="53">
        <f t="shared" si="14"/>
        <v>3</v>
      </c>
      <c r="C20" s="53" t="s">
        <v>62</v>
      </c>
      <c r="D20" s="53" t="s">
        <v>66</v>
      </c>
      <c r="E20" s="54">
        <v>1983</v>
      </c>
      <c r="F20" s="54">
        <v>2011</v>
      </c>
      <c r="G20" s="54" t="s">
        <v>64</v>
      </c>
      <c r="H20" s="54">
        <v>5</v>
      </c>
      <c r="I20" s="54">
        <v>4</v>
      </c>
      <c r="J20" s="55">
        <v>3725.7</v>
      </c>
      <c r="K20" s="55">
        <v>3170.6</v>
      </c>
      <c r="L20" s="55">
        <v>0</v>
      </c>
      <c r="M20" s="56">
        <v>120</v>
      </c>
      <c r="N20" s="62">
        <v>21804481.7067554</v>
      </c>
      <c r="O20" s="58"/>
      <c r="P20" s="63">
        <v>4188632.37</v>
      </c>
      <c r="Q20" s="63">
        <v>0</v>
      </c>
      <c r="R20" s="63">
        <v>1877886.64</v>
      </c>
      <c r="S20" s="63">
        <v>11414160</v>
      </c>
      <c r="T20" s="55">
        <v>4323802.6967554102</v>
      </c>
      <c r="U20" s="63">
        <v>6877.0837402243797</v>
      </c>
      <c r="V20" s="63">
        <v>6877.0837402243797</v>
      </c>
      <c r="W20" s="59">
        <v>2022</v>
      </c>
      <c r="X20" s="6" t="e">
        <v>#REF!</v>
      </c>
      <c r="Z20" s="62">
        <f t="shared" si="7"/>
        <v>17332985.384287383</v>
      </c>
      <c r="AA20" s="55">
        <v>8910266.0202690195</v>
      </c>
      <c r="AB20" s="55">
        <v>4292357.0577192605</v>
      </c>
      <c r="AC20" s="55"/>
      <c r="AD20" s="55">
        <v>1766460.13572826</v>
      </c>
      <c r="AE20" s="55">
        <v>0</v>
      </c>
      <c r="AF20" s="55"/>
      <c r="AG20" s="55">
        <v>287788.62641660502</v>
      </c>
      <c r="AH20" s="55">
        <v>0</v>
      </c>
      <c r="AI20" s="55">
        <v>0</v>
      </c>
      <c r="AJ20" s="55"/>
      <c r="AK20" s="55">
        <v>0</v>
      </c>
      <c r="AL20" s="55">
        <v>0</v>
      </c>
      <c r="AM20" s="55">
        <v>1569146.8035559501</v>
      </c>
      <c r="AN20" s="63">
        <v>173329.853842874</v>
      </c>
      <c r="AO20" s="64">
        <v>333636.88675541501</v>
      </c>
      <c r="AP20" s="61">
        <f>+N20-'Приложение №2'!E20</f>
        <v>0</v>
      </c>
      <c r="AQ20" s="1">
        <v>1554485.44</v>
      </c>
      <c r="AR20" s="3">
        <f t="shared" si="8"/>
        <v>323401.2</v>
      </c>
      <c r="AS20" s="3">
        <f t="shared" si="9"/>
        <v>11414160</v>
      </c>
      <c r="AT20" s="6">
        <f t="shared" si="10"/>
        <v>0</v>
      </c>
      <c r="AW20" s="62">
        <f t="shared" si="11"/>
        <v>21804481.706755415</v>
      </c>
      <c r="AX20" s="55">
        <v>8693551.2400000002</v>
      </c>
      <c r="AY20" s="55">
        <v>2539728.9700000002</v>
      </c>
      <c r="AZ20" s="55"/>
      <c r="BA20" s="55">
        <v>1744090.12</v>
      </c>
      <c r="BB20" s="55">
        <v>0</v>
      </c>
      <c r="BC20" s="55"/>
      <c r="BD20" s="55"/>
      <c r="BE20" s="55">
        <v>0</v>
      </c>
      <c r="BF20" s="55">
        <v>2720365.2</v>
      </c>
      <c r="BG20" s="55">
        <v>5773109.29</v>
      </c>
      <c r="BH20" s="55">
        <v>0</v>
      </c>
      <c r="BI20" s="55">
        <v>0</v>
      </c>
      <c r="BJ20" s="55"/>
      <c r="BK20" s="63"/>
      <c r="BL20" s="64">
        <v>333636.88675541501</v>
      </c>
      <c r="BM20" s="8">
        <f t="shared" si="12"/>
        <v>21804481.706755415</v>
      </c>
      <c r="BN20" s="55">
        <v>8693551.2400000002</v>
      </c>
      <c r="BO20" s="55">
        <v>2539728.9700000002</v>
      </c>
      <c r="BP20" s="55"/>
      <c r="BQ20" s="55">
        <v>1744090.12</v>
      </c>
      <c r="BR20" s="55">
        <v>0</v>
      </c>
      <c r="BS20" s="55"/>
      <c r="BT20" s="55"/>
      <c r="BU20" s="55">
        <v>0</v>
      </c>
      <c r="BV20" s="55">
        <v>2720365.2</v>
      </c>
      <c r="BW20" s="55">
        <v>5773109.29</v>
      </c>
      <c r="BX20" s="55">
        <v>0</v>
      </c>
      <c r="BY20" s="55">
        <v>0</v>
      </c>
      <c r="BZ20" s="55"/>
      <c r="CA20" s="63"/>
      <c r="CB20" s="64">
        <v>333636.88675541501</v>
      </c>
    </row>
    <row r="21" spans="1:149" ht="15" customHeight="1" x14ac:dyDescent="0.25">
      <c r="A21" s="52">
        <f t="shared" si="13"/>
        <v>4</v>
      </c>
      <c r="B21" s="53">
        <f t="shared" si="14"/>
        <v>4</v>
      </c>
      <c r="C21" s="53" t="s">
        <v>67</v>
      </c>
      <c r="D21" s="53" t="s">
        <v>68</v>
      </c>
      <c r="E21" s="54">
        <v>1995</v>
      </c>
      <c r="F21" s="54">
        <v>2013</v>
      </c>
      <c r="G21" s="54" t="s">
        <v>64</v>
      </c>
      <c r="H21" s="54">
        <v>3</v>
      </c>
      <c r="I21" s="54">
        <v>4</v>
      </c>
      <c r="J21" s="55">
        <v>2740.5</v>
      </c>
      <c r="K21" s="55">
        <v>1849.2</v>
      </c>
      <c r="L21" s="55">
        <v>0</v>
      </c>
      <c r="M21" s="56">
        <v>67</v>
      </c>
      <c r="N21" s="62">
        <v>6683521.8589599999</v>
      </c>
      <c r="O21" s="55"/>
      <c r="P21" s="63"/>
      <c r="Q21" s="63"/>
      <c r="R21" s="63">
        <v>1097135.0900000001</v>
      </c>
      <c r="S21" s="63">
        <v>5586386.76896</v>
      </c>
      <c r="T21" s="55">
        <v>0</v>
      </c>
      <c r="U21" s="63">
        <v>3614.2774491455798</v>
      </c>
      <c r="V21" s="63">
        <v>3614.2774491455798</v>
      </c>
      <c r="W21" s="59">
        <v>2022</v>
      </c>
      <c r="X21" s="6" t="e">
        <v>#REF!</v>
      </c>
      <c r="Z21" s="62">
        <f t="shared" si="7"/>
        <v>17794596.000000004</v>
      </c>
      <c r="AA21" s="55">
        <v>0</v>
      </c>
      <c r="AB21" s="55">
        <v>0</v>
      </c>
      <c r="AC21" s="55">
        <v>0</v>
      </c>
      <c r="AD21" s="55">
        <v>0</v>
      </c>
      <c r="AE21" s="55">
        <v>0</v>
      </c>
      <c r="AF21" s="55"/>
      <c r="AG21" s="55">
        <v>0</v>
      </c>
      <c r="AH21" s="55">
        <v>0</v>
      </c>
      <c r="AI21" s="55">
        <v>15672412.481040001</v>
      </c>
      <c r="AJ21" s="55">
        <v>0</v>
      </c>
      <c r="AK21" s="55">
        <v>0</v>
      </c>
      <c r="AL21" s="55">
        <v>0</v>
      </c>
      <c r="AM21" s="55">
        <v>1601513.64</v>
      </c>
      <c r="AN21" s="63">
        <v>177945.96</v>
      </c>
      <c r="AO21" s="64">
        <v>342723.91895999998</v>
      </c>
      <c r="AP21" s="61">
        <f>+N21-'Приложение №2'!E21</f>
        <v>0</v>
      </c>
      <c r="AQ21" s="65">
        <v>908516.69</v>
      </c>
      <c r="AR21" s="3">
        <f t="shared" si="8"/>
        <v>188618.4</v>
      </c>
      <c r="AS21" s="3">
        <f t="shared" si="9"/>
        <v>6657120</v>
      </c>
      <c r="AT21" s="6">
        <f t="shared" si="10"/>
        <v>-1070733.23104</v>
      </c>
      <c r="AW21" s="62">
        <f t="shared" si="11"/>
        <v>6683521.8589600008</v>
      </c>
      <c r="AX21" s="55">
        <v>0</v>
      </c>
      <c r="AY21" s="55">
        <v>0</v>
      </c>
      <c r="AZ21" s="55">
        <v>0</v>
      </c>
      <c r="BA21" s="55">
        <v>0</v>
      </c>
      <c r="BB21" s="55">
        <v>0</v>
      </c>
      <c r="BC21" s="55"/>
      <c r="BD21" s="55"/>
      <c r="BE21" s="55">
        <v>0</v>
      </c>
      <c r="BF21" s="55">
        <v>6340797.9400000004</v>
      </c>
      <c r="BG21" s="55">
        <v>0</v>
      </c>
      <c r="BH21" s="55">
        <v>0</v>
      </c>
      <c r="BI21" s="55">
        <v>0</v>
      </c>
      <c r="BJ21" s="55"/>
      <c r="BK21" s="63"/>
      <c r="BL21" s="64">
        <v>342723.91895999998</v>
      </c>
      <c r="BM21" s="8">
        <f t="shared" si="12"/>
        <v>6683521.8589600008</v>
      </c>
      <c r="BN21" s="55">
        <v>0</v>
      </c>
      <c r="BO21" s="55">
        <v>0</v>
      </c>
      <c r="BP21" s="55">
        <v>0</v>
      </c>
      <c r="BQ21" s="55">
        <v>0</v>
      </c>
      <c r="BR21" s="55">
        <v>0</v>
      </c>
      <c r="BS21" s="55"/>
      <c r="BT21" s="55"/>
      <c r="BU21" s="55">
        <v>0</v>
      </c>
      <c r="BV21" s="55">
        <v>6340797.9400000004</v>
      </c>
      <c r="BW21" s="55">
        <v>0</v>
      </c>
      <c r="BX21" s="55">
        <v>0</v>
      </c>
      <c r="BY21" s="55">
        <v>0</v>
      </c>
      <c r="BZ21" s="55"/>
      <c r="CA21" s="63"/>
      <c r="CB21" s="64">
        <v>342723.91895999998</v>
      </c>
    </row>
    <row r="22" spans="1:149" ht="15" customHeight="1" x14ac:dyDescent="0.25">
      <c r="A22" s="52">
        <f t="shared" si="13"/>
        <v>5</v>
      </c>
      <c r="B22" s="53">
        <f t="shared" si="14"/>
        <v>5</v>
      </c>
      <c r="C22" s="53" t="s">
        <v>67</v>
      </c>
      <c r="D22" s="53" t="s">
        <v>69</v>
      </c>
      <c r="E22" s="54">
        <v>1994</v>
      </c>
      <c r="F22" s="54">
        <v>2013</v>
      </c>
      <c r="G22" s="54" t="s">
        <v>64</v>
      </c>
      <c r="H22" s="54">
        <v>3</v>
      </c>
      <c r="I22" s="54">
        <v>2</v>
      </c>
      <c r="J22" s="55">
        <v>1781.6</v>
      </c>
      <c r="K22" s="55">
        <v>1210.5999999999999</v>
      </c>
      <c r="L22" s="55">
        <v>0</v>
      </c>
      <c r="M22" s="56">
        <v>67</v>
      </c>
      <c r="N22" s="62">
        <v>1380495.81533032</v>
      </c>
      <c r="O22" s="55"/>
      <c r="P22" s="63"/>
      <c r="Q22" s="63"/>
      <c r="R22" s="63">
        <v>428000.15</v>
      </c>
      <c r="S22" s="63">
        <v>952495.66533031804</v>
      </c>
      <c r="T22" s="55">
        <v>0</v>
      </c>
      <c r="U22" s="63">
        <v>1140.3401745665899</v>
      </c>
      <c r="V22" s="63">
        <v>1140.3401745665899</v>
      </c>
      <c r="W22" s="59">
        <v>2022</v>
      </c>
      <c r="X22" s="6" t="e">
        <v>#REF!</v>
      </c>
      <c r="Z22" s="62">
        <f t="shared" si="7"/>
        <v>5516150.6245547505</v>
      </c>
      <c r="AA22" s="55">
        <v>4565756.2689250298</v>
      </c>
      <c r="AB22" s="55">
        <v>0</v>
      </c>
      <c r="AC22" s="55">
        <v>0</v>
      </c>
      <c r="AD22" s="55">
        <v>0</v>
      </c>
      <c r="AE22" s="55">
        <v>0</v>
      </c>
      <c r="AF22" s="55"/>
      <c r="AG22" s="55">
        <v>373174.61155392299</v>
      </c>
      <c r="AH22" s="55">
        <v>0</v>
      </c>
      <c r="AI22" s="55">
        <v>0</v>
      </c>
      <c r="AJ22" s="55">
        <v>0</v>
      </c>
      <c r="AK22" s="55">
        <v>0</v>
      </c>
      <c r="AL22" s="55">
        <v>0</v>
      </c>
      <c r="AM22" s="55">
        <v>414053.82249993202</v>
      </c>
      <c r="AN22" s="63">
        <v>55161.506245547498</v>
      </c>
      <c r="AO22" s="64">
        <v>108004.41533031801</v>
      </c>
      <c r="AP22" s="61">
        <f>+N22-'Приложение №2'!E22</f>
        <v>2.0954757928848267E-9</v>
      </c>
      <c r="AQ22" s="65">
        <v>581248.32999999996</v>
      </c>
      <c r="AR22" s="3">
        <f t="shared" si="8"/>
        <v>123481.2</v>
      </c>
      <c r="AS22" s="3">
        <f t="shared" si="9"/>
        <v>4358160</v>
      </c>
      <c r="AT22" s="6">
        <f t="shared" si="10"/>
        <v>-3405664.3346696822</v>
      </c>
      <c r="AW22" s="62">
        <f t="shared" si="11"/>
        <v>1380495.8153303179</v>
      </c>
      <c r="AX22" s="55">
        <v>1272491.3999999999</v>
      </c>
      <c r="AY22" s="55">
        <v>0</v>
      </c>
      <c r="AZ22" s="55">
        <v>0</v>
      </c>
      <c r="BA22" s="55">
        <v>0</v>
      </c>
      <c r="BB22" s="55">
        <v>0</v>
      </c>
      <c r="BC22" s="55"/>
      <c r="BD22" s="55"/>
      <c r="BE22" s="55">
        <v>0</v>
      </c>
      <c r="BF22" s="55">
        <v>0</v>
      </c>
      <c r="BG22" s="55">
        <v>0</v>
      </c>
      <c r="BH22" s="55">
        <v>0</v>
      </c>
      <c r="BI22" s="55">
        <v>0</v>
      </c>
      <c r="BJ22" s="55"/>
      <c r="BK22" s="63"/>
      <c r="BL22" s="64">
        <v>108004.41533031801</v>
      </c>
      <c r="BM22" s="8">
        <f t="shared" si="12"/>
        <v>1380495.8153303179</v>
      </c>
      <c r="BN22" s="55">
        <v>1272491.3999999999</v>
      </c>
      <c r="BO22" s="55">
        <v>0</v>
      </c>
      <c r="BP22" s="55">
        <v>0</v>
      </c>
      <c r="BQ22" s="55">
        <v>0</v>
      </c>
      <c r="BR22" s="55">
        <v>0</v>
      </c>
      <c r="BS22" s="55"/>
      <c r="BT22" s="55"/>
      <c r="BU22" s="55">
        <v>0</v>
      </c>
      <c r="BV22" s="55">
        <v>0</v>
      </c>
      <c r="BW22" s="55">
        <v>0</v>
      </c>
      <c r="BX22" s="55">
        <v>0</v>
      </c>
      <c r="BY22" s="55">
        <v>0</v>
      </c>
      <c r="BZ22" s="55"/>
      <c r="CA22" s="63"/>
      <c r="CB22" s="64">
        <v>108004.41533031801</v>
      </c>
    </row>
    <row r="23" spans="1:149" ht="15" customHeight="1" x14ac:dyDescent="0.25">
      <c r="A23" s="52">
        <f t="shared" si="13"/>
        <v>6</v>
      </c>
      <c r="B23" s="53">
        <f t="shared" si="14"/>
        <v>6</v>
      </c>
      <c r="C23" s="53" t="s">
        <v>67</v>
      </c>
      <c r="D23" s="53" t="s">
        <v>70</v>
      </c>
      <c r="E23" s="54">
        <v>1993</v>
      </c>
      <c r="F23" s="54">
        <v>2013</v>
      </c>
      <c r="G23" s="54" t="s">
        <v>64</v>
      </c>
      <c r="H23" s="54">
        <v>2</v>
      </c>
      <c r="I23" s="54">
        <v>0</v>
      </c>
      <c r="J23" s="55">
        <v>868.3</v>
      </c>
      <c r="K23" s="55">
        <v>868.3</v>
      </c>
      <c r="L23" s="55">
        <v>0</v>
      </c>
      <c r="M23" s="56">
        <v>31</v>
      </c>
      <c r="N23" s="62">
        <v>2472986.52</v>
      </c>
      <c r="O23" s="55"/>
      <c r="P23" s="7"/>
      <c r="Q23" s="63"/>
      <c r="R23" s="63">
        <v>505278.46</v>
      </c>
      <c r="S23" s="63">
        <v>1967708.06</v>
      </c>
      <c r="T23" s="55">
        <v>0</v>
      </c>
      <c r="U23" s="63">
        <v>2848.0784521478799</v>
      </c>
      <c r="V23" s="63">
        <v>2848.0784521478799</v>
      </c>
      <c r="W23" s="59">
        <v>2022</v>
      </c>
      <c r="X23" s="6" t="e">
        <v>#REF!</v>
      </c>
      <c r="Z23" s="62">
        <f t="shared" si="7"/>
        <v>3949769.5149232969</v>
      </c>
      <c r="AA23" s="55">
        <v>3597070.04</v>
      </c>
      <c r="AB23" s="55">
        <v>0</v>
      </c>
      <c r="AC23" s="55">
        <v>0</v>
      </c>
      <c r="AD23" s="55">
        <v>0</v>
      </c>
      <c r="AE23" s="55">
        <v>0</v>
      </c>
      <c r="AF23" s="55"/>
      <c r="AG23" s="55">
        <v>269001.86492329702</v>
      </c>
      <c r="AH23" s="55">
        <v>0</v>
      </c>
      <c r="AI23" s="55">
        <v>0</v>
      </c>
      <c r="AJ23" s="55">
        <v>0</v>
      </c>
      <c r="AK23" s="55">
        <v>0</v>
      </c>
      <c r="AL23" s="55">
        <v>0</v>
      </c>
      <c r="AM23" s="55">
        <v>28876.78</v>
      </c>
      <c r="AN23" s="63">
        <v>10000</v>
      </c>
      <c r="AO23" s="64">
        <v>44820.83</v>
      </c>
      <c r="AP23" s="61">
        <f>+N23-'Приложение №2'!E23</f>
        <v>0</v>
      </c>
      <c r="AQ23" s="65">
        <v>416711.86</v>
      </c>
      <c r="AR23" s="3">
        <f t="shared" si="8"/>
        <v>88566.599999999991</v>
      </c>
      <c r="AS23" s="3">
        <f t="shared" si="9"/>
        <v>3125880</v>
      </c>
      <c r="AT23" s="6">
        <f t="shared" si="10"/>
        <v>-1158171.94</v>
      </c>
      <c r="AW23" s="62">
        <f t="shared" si="11"/>
        <v>2472986.52</v>
      </c>
      <c r="AX23" s="55">
        <v>2428165.69</v>
      </c>
      <c r="AY23" s="55">
        <v>0</v>
      </c>
      <c r="AZ23" s="55">
        <v>0</v>
      </c>
      <c r="BA23" s="55">
        <v>0</v>
      </c>
      <c r="BB23" s="55">
        <v>0</v>
      </c>
      <c r="BC23" s="55"/>
      <c r="BD23" s="55"/>
      <c r="BE23" s="55">
        <v>0</v>
      </c>
      <c r="BF23" s="55">
        <v>0</v>
      </c>
      <c r="BG23" s="55">
        <v>0</v>
      </c>
      <c r="BH23" s="55">
        <v>0</v>
      </c>
      <c r="BI23" s="55">
        <v>0</v>
      </c>
      <c r="BJ23" s="55"/>
      <c r="BK23" s="63"/>
      <c r="BL23" s="64">
        <v>44820.83</v>
      </c>
      <c r="BM23" s="8">
        <f t="shared" si="12"/>
        <v>2472986.52</v>
      </c>
      <c r="BN23" s="55">
        <v>2428165.69</v>
      </c>
      <c r="BO23" s="55">
        <v>0</v>
      </c>
      <c r="BP23" s="55">
        <v>0</v>
      </c>
      <c r="BQ23" s="55">
        <v>0</v>
      </c>
      <c r="BR23" s="55">
        <v>0</v>
      </c>
      <c r="BS23" s="55"/>
      <c r="BT23" s="55"/>
      <c r="BU23" s="55">
        <v>0</v>
      </c>
      <c r="BV23" s="55">
        <v>0</v>
      </c>
      <c r="BW23" s="55">
        <v>0</v>
      </c>
      <c r="BX23" s="55">
        <v>0</v>
      </c>
      <c r="BY23" s="55">
        <v>0</v>
      </c>
      <c r="BZ23" s="55"/>
      <c r="CA23" s="63"/>
      <c r="CB23" s="64">
        <v>44820.83</v>
      </c>
    </row>
    <row r="24" spans="1:149" ht="15" customHeight="1" x14ac:dyDescent="0.25">
      <c r="A24" s="52">
        <f t="shared" si="13"/>
        <v>7</v>
      </c>
      <c r="B24" s="53">
        <f t="shared" si="14"/>
        <v>7</v>
      </c>
      <c r="C24" s="53" t="s">
        <v>71</v>
      </c>
      <c r="D24" s="53" t="s">
        <v>72</v>
      </c>
      <c r="E24" s="54">
        <v>1993</v>
      </c>
      <c r="F24" s="54">
        <v>2012</v>
      </c>
      <c r="G24" s="54" t="s">
        <v>64</v>
      </c>
      <c r="H24" s="54">
        <v>3</v>
      </c>
      <c r="I24" s="54">
        <v>1</v>
      </c>
      <c r="J24" s="55">
        <v>1090</v>
      </c>
      <c r="K24" s="55">
        <v>942.47</v>
      </c>
      <c r="L24" s="55">
        <v>0</v>
      </c>
      <c r="M24" s="56">
        <v>33</v>
      </c>
      <c r="N24" s="62">
        <v>113078.26467698799</v>
      </c>
      <c r="O24" s="58"/>
      <c r="P24" s="63"/>
      <c r="Q24" s="63"/>
      <c r="R24" s="63">
        <v>113078.26467698799</v>
      </c>
      <c r="S24" s="63">
        <v>0</v>
      </c>
      <c r="T24" s="55">
        <v>0</v>
      </c>
      <c r="U24" s="63">
        <v>119.980757665483</v>
      </c>
      <c r="V24" s="63">
        <v>119.980757665483</v>
      </c>
      <c r="W24" s="59">
        <v>2022</v>
      </c>
      <c r="X24" s="6" t="e">
        <v>#REF!</v>
      </c>
      <c r="Z24" s="62">
        <f t="shared" si="7"/>
        <v>1353938.3335295999</v>
      </c>
      <c r="AA24" s="55">
        <v>0</v>
      </c>
      <c r="AB24" s="55">
        <v>0</v>
      </c>
      <c r="AC24" s="55">
        <v>766834.98031195195</v>
      </c>
      <c r="AD24" s="55">
        <v>398482.47555610002</v>
      </c>
      <c r="AE24" s="55">
        <v>0</v>
      </c>
      <c r="AF24" s="55"/>
      <c r="AG24" s="55">
        <v>0</v>
      </c>
      <c r="AH24" s="55">
        <v>0</v>
      </c>
      <c r="AI24" s="55">
        <v>0</v>
      </c>
      <c r="AJ24" s="55">
        <v>0</v>
      </c>
      <c r="AK24" s="55">
        <v>0</v>
      </c>
      <c r="AL24" s="55">
        <v>0</v>
      </c>
      <c r="AM24" s="55">
        <v>149598.36173318399</v>
      </c>
      <c r="AN24" s="63">
        <v>13539.383335295999</v>
      </c>
      <c r="AO24" s="64">
        <v>25483.132593068</v>
      </c>
      <c r="AP24" s="61">
        <f>+N24-'Приложение №2'!E24</f>
        <v>0</v>
      </c>
      <c r="AQ24" s="1">
        <v>502001.62</v>
      </c>
      <c r="AR24" s="3">
        <f t="shared" si="8"/>
        <v>96131.94</v>
      </c>
      <c r="AS24" s="3">
        <f t="shared" si="9"/>
        <v>3392892.0000000005</v>
      </c>
      <c r="AT24" s="6">
        <f t="shared" si="10"/>
        <v>-3392892.0000000005</v>
      </c>
      <c r="AW24" s="62">
        <f t="shared" si="11"/>
        <v>113078.26467698807</v>
      </c>
      <c r="AX24" s="55">
        <v>0</v>
      </c>
      <c r="AY24" s="55">
        <v>0</v>
      </c>
      <c r="AZ24" s="55"/>
      <c r="BA24" s="55">
        <v>104364.26</v>
      </c>
      <c r="BB24" s="55">
        <v>0</v>
      </c>
      <c r="BC24" s="55"/>
      <c r="BD24" s="55"/>
      <c r="BE24" s="55">
        <v>0</v>
      </c>
      <c r="BF24" s="55">
        <v>0</v>
      </c>
      <c r="BG24" s="55">
        <v>0</v>
      </c>
      <c r="BH24" s="55">
        <v>0</v>
      </c>
      <c r="BI24" s="55">
        <v>0</v>
      </c>
      <c r="BJ24" s="55"/>
      <c r="BK24" s="63"/>
      <c r="BL24" s="64">
        <v>8714.0046769880792</v>
      </c>
      <c r="BM24" s="8">
        <f t="shared" si="12"/>
        <v>113078.26467698807</v>
      </c>
      <c r="BN24" s="55">
        <v>0</v>
      </c>
      <c r="BO24" s="55">
        <v>0</v>
      </c>
      <c r="BP24" s="55"/>
      <c r="BQ24" s="55">
        <v>104364.26</v>
      </c>
      <c r="BR24" s="55">
        <v>0</v>
      </c>
      <c r="BS24" s="55"/>
      <c r="BT24" s="55"/>
      <c r="BU24" s="55">
        <v>0</v>
      </c>
      <c r="BV24" s="55">
        <v>0</v>
      </c>
      <c r="BW24" s="55">
        <v>0</v>
      </c>
      <c r="BX24" s="55">
        <v>0</v>
      </c>
      <c r="BY24" s="55">
        <v>0</v>
      </c>
      <c r="BZ24" s="55"/>
      <c r="CA24" s="63"/>
      <c r="CB24" s="64">
        <v>8714.0046769880792</v>
      </c>
    </row>
    <row r="25" spans="1:149" ht="15" customHeight="1" x14ac:dyDescent="0.25">
      <c r="A25" s="52">
        <f t="shared" si="13"/>
        <v>8</v>
      </c>
      <c r="B25" s="53">
        <f t="shared" si="14"/>
        <v>8</v>
      </c>
      <c r="C25" s="53" t="s">
        <v>71</v>
      </c>
      <c r="D25" s="53" t="s">
        <v>73</v>
      </c>
      <c r="E25" s="54">
        <v>1990</v>
      </c>
      <c r="F25" s="54">
        <v>1990</v>
      </c>
      <c r="G25" s="54" t="s">
        <v>64</v>
      </c>
      <c r="H25" s="54">
        <v>5</v>
      </c>
      <c r="I25" s="54">
        <v>6</v>
      </c>
      <c r="J25" s="55">
        <v>5208.7</v>
      </c>
      <c r="K25" s="55">
        <v>4621.34</v>
      </c>
      <c r="L25" s="55">
        <v>0</v>
      </c>
      <c r="M25" s="56">
        <v>157</v>
      </c>
      <c r="N25" s="62">
        <v>5366313.5354361599</v>
      </c>
      <c r="O25" s="55"/>
      <c r="P25" s="63"/>
      <c r="Q25" s="63"/>
      <c r="R25" s="63">
        <v>1998629.62</v>
      </c>
      <c r="S25" s="63">
        <v>3367683.9154361598</v>
      </c>
      <c r="T25" s="55">
        <v>0</v>
      </c>
      <c r="U25" s="63">
        <v>1161.2029271674801</v>
      </c>
      <c r="V25" s="63">
        <v>1161.2029271674801</v>
      </c>
      <c r="W25" s="59">
        <v>2022</v>
      </c>
      <c r="X25" s="6" t="e">
        <v>#REF!</v>
      </c>
      <c r="Z25" s="62">
        <f t="shared" si="7"/>
        <v>24135948.530553598</v>
      </c>
      <c r="AA25" s="55">
        <v>0</v>
      </c>
      <c r="AB25" s="55">
        <v>0</v>
      </c>
      <c r="AC25" s="55">
        <v>0</v>
      </c>
      <c r="AD25" s="55">
        <v>0</v>
      </c>
      <c r="AE25" s="55">
        <v>0</v>
      </c>
      <c r="AF25" s="55"/>
      <c r="AG25" s="55">
        <v>0</v>
      </c>
      <c r="AH25" s="55">
        <v>0</v>
      </c>
      <c r="AI25" s="55">
        <v>0</v>
      </c>
      <c r="AJ25" s="55">
        <v>7798620.4989638403</v>
      </c>
      <c r="AK25" s="55">
        <v>9725868.7576821204</v>
      </c>
      <c r="AL25" s="55">
        <v>3496811.6598338201</v>
      </c>
      <c r="AM25" s="55">
        <v>2413594.8530553598</v>
      </c>
      <c r="AN25" s="63">
        <v>241359.48530553601</v>
      </c>
      <c r="AO25" s="64">
        <v>459693.27571292402</v>
      </c>
      <c r="AP25" s="61">
        <f>+N25-'Приложение №2'!E25</f>
        <v>0</v>
      </c>
      <c r="AQ25" s="1">
        <v>2233749.27</v>
      </c>
      <c r="AR25" s="3">
        <f t="shared" si="8"/>
        <v>471376.68000000005</v>
      </c>
      <c r="AS25" s="3">
        <f t="shared" si="9"/>
        <v>16636824.000000002</v>
      </c>
      <c r="AT25" s="6">
        <f t="shared" si="10"/>
        <v>-13269140.084563842</v>
      </c>
      <c r="AW25" s="62">
        <f t="shared" si="11"/>
        <v>5366313.5354361599</v>
      </c>
      <c r="AX25" s="55">
        <v>0</v>
      </c>
      <c r="AY25" s="55">
        <v>0</v>
      </c>
      <c r="AZ25" s="55">
        <v>0</v>
      </c>
      <c r="BA25" s="55">
        <v>0</v>
      </c>
      <c r="BB25" s="55">
        <v>0</v>
      </c>
      <c r="BC25" s="55"/>
      <c r="BD25" s="55"/>
      <c r="BE25" s="55">
        <v>0</v>
      </c>
      <c r="BF25" s="55">
        <v>0</v>
      </c>
      <c r="BG25" s="55">
        <v>5195773.5</v>
      </c>
      <c r="BH25" s="55"/>
      <c r="BI25" s="55"/>
      <c r="BJ25" s="55"/>
      <c r="BK25" s="63"/>
      <c r="BL25" s="64">
        <v>170540.03543615999</v>
      </c>
      <c r="BM25" s="8">
        <f t="shared" si="12"/>
        <v>5366313.5354361599</v>
      </c>
      <c r="BN25" s="55">
        <v>0</v>
      </c>
      <c r="BO25" s="55">
        <v>0</v>
      </c>
      <c r="BP25" s="55">
        <v>0</v>
      </c>
      <c r="BQ25" s="55">
        <v>0</v>
      </c>
      <c r="BR25" s="55">
        <v>0</v>
      </c>
      <c r="BS25" s="55"/>
      <c r="BT25" s="55"/>
      <c r="BU25" s="55">
        <v>0</v>
      </c>
      <c r="BV25" s="55">
        <v>0</v>
      </c>
      <c r="BW25" s="55">
        <v>5195773.5</v>
      </c>
      <c r="BX25" s="55"/>
      <c r="BY25" s="55"/>
      <c r="BZ25" s="55"/>
      <c r="CA25" s="63"/>
      <c r="CB25" s="64">
        <v>170540.03543615999</v>
      </c>
    </row>
    <row r="26" spans="1:149" ht="15" customHeight="1" x14ac:dyDescent="0.25">
      <c r="A26" s="52">
        <f t="shared" si="13"/>
        <v>9</v>
      </c>
      <c r="B26" s="53">
        <f t="shared" si="14"/>
        <v>9</v>
      </c>
      <c r="C26" s="53" t="s">
        <v>71</v>
      </c>
      <c r="D26" s="53" t="s">
        <v>74</v>
      </c>
      <c r="E26" s="54">
        <v>1985</v>
      </c>
      <c r="F26" s="54">
        <v>1985</v>
      </c>
      <c r="G26" s="54" t="s">
        <v>64</v>
      </c>
      <c r="H26" s="54">
        <v>4</v>
      </c>
      <c r="I26" s="54">
        <v>2</v>
      </c>
      <c r="J26" s="55">
        <v>1511.1</v>
      </c>
      <c r="K26" s="55">
        <v>1366.85</v>
      </c>
      <c r="L26" s="55">
        <v>0</v>
      </c>
      <c r="M26" s="56">
        <v>62</v>
      </c>
      <c r="N26" s="62">
        <v>3697130.34923534</v>
      </c>
      <c r="O26" s="55"/>
      <c r="P26" s="63"/>
      <c r="Q26" s="63"/>
      <c r="R26" s="63">
        <v>399040.09</v>
      </c>
      <c r="S26" s="63">
        <v>3206331.2592353402</v>
      </c>
      <c r="T26" s="55">
        <v>91759</v>
      </c>
      <c r="U26" s="63">
        <v>2704.8544823757802</v>
      </c>
      <c r="V26" s="63">
        <v>2704.8544823757802</v>
      </c>
      <c r="W26" s="59">
        <v>2022</v>
      </c>
      <c r="X26" s="6" t="e">
        <v>#REF!</v>
      </c>
      <c r="Z26" s="62">
        <f t="shared" si="7"/>
        <v>7089248.6021132804</v>
      </c>
      <c r="AA26" s="55">
        <v>0</v>
      </c>
      <c r="AB26" s="55">
        <v>0</v>
      </c>
      <c r="AC26" s="55">
        <v>0</v>
      </c>
      <c r="AD26" s="55">
        <v>0</v>
      </c>
      <c r="AE26" s="55">
        <v>0</v>
      </c>
      <c r="AF26" s="55"/>
      <c r="AG26" s="55">
        <v>0</v>
      </c>
      <c r="AH26" s="55">
        <v>0</v>
      </c>
      <c r="AI26" s="55">
        <v>0</v>
      </c>
      <c r="AJ26" s="55">
        <v>2448913.4700000002</v>
      </c>
      <c r="AK26" s="55">
        <v>3110879.85</v>
      </c>
      <c r="AL26" s="55">
        <v>1036083.92287794</v>
      </c>
      <c r="AM26" s="55">
        <v>392917.04065692797</v>
      </c>
      <c r="AN26" s="63">
        <v>18562.626065692799</v>
      </c>
      <c r="AO26" s="64">
        <v>81891.692512718495</v>
      </c>
      <c r="AP26" s="61">
        <f>+N26-'Приложение №2'!E26</f>
        <v>0</v>
      </c>
      <c r="AQ26" s="1">
        <v>593500.14</v>
      </c>
      <c r="AR26" s="3">
        <f t="shared" si="8"/>
        <v>139418.69999999998</v>
      </c>
      <c r="AS26" s="3">
        <f t="shared" si="9"/>
        <v>4920660</v>
      </c>
      <c r="AT26" s="6">
        <f t="shared" si="10"/>
        <v>-1714328.7407646598</v>
      </c>
      <c r="AW26" s="62">
        <f t="shared" si="11"/>
        <v>3697130.3492353396</v>
      </c>
      <c r="AX26" s="55">
        <v>0</v>
      </c>
      <c r="AY26" s="55">
        <v>0</v>
      </c>
      <c r="AZ26" s="55">
        <v>0</v>
      </c>
      <c r="BA26" s="55">
        <v>0</v>
      </c>
      <c r="BB26" s="55">
        <v>0</v>
      </c>
      <c r="BC26" s="55"/>
      <c r="BD26" s="55"/>
      <c r="BE26" s="55">
        <v>0</v>
      </c>
      <c r="BF26" s="55">
        <v>0</v>
      </c>
      <c r="BG26" s="55">
        <v>2388753.41</v>
      </c>
      <c r="BH26" s="55"/>
      <c r="BI26" s="55">
        <v>815005.58</v>
      </c>
      <c r="BJ26" s="55">
        <v>392917.04065692797</v>
      </c>
      <c r="BK26" s="63">
        <v>18562.626065692799</v>
      </c>
      <c r="BL26" s="64">
        <v>81891.692512718495</v>
      </c>
      <c r="BM26" s="8">
        <f t="shared" si="12"/>
        <v>3697130.3492353396</v>
      </c>
      <c r="BN26" s="55">
        <v>0</v>
      </c>
      <c r="BO26" s="55">
        <v>0</v>
      </c>
      <c r="BP26" s="55">
        <v>0</v>
      </c>
      <c r="BQ26" s="55">
        <v>0</v>
      </c>
      <c r="BR26" s="55">
        <v>0</v>
      </c>
      <c r="BS26" s="55"/>
      <c r="BT26" s="55"/>
      <c r="BU26" s="55">
        <v>0</v>
      </c>
      <c r="BV26" s="55">
        <v>0</v>
      </c>
      <c r="BW26" s="55">
        <v>2388753.41</v>
      </c>
      <c r="BX26" s="55"/>
      <c r="BY26" s="55">
        <v>815005.58</v>
      </c>
      <c r="BZ26" s="55">
        <v>392917.04065692797</v>
      </c>
      <c r="CA26" s="63">
        <v>18562.626065692799</v>
      </c>
      <c r="CB26" s="64">
        <v>81891.692512718495</v>
      </c>
    </row>
    <row r="27" spans="1:149" ht="15" customHeight="1" x14ac:dyDescent="0.25">
      <c r="A27" s="52">
        <f t="shared" si="13"/>
        <v>10</v>
      </c>
      <c r="B27" s="53">
        <f t="shared" si="14"/>
        <v>10</v>
      </c>
      <c r="C27" s="53" t="s">
        <v>75</v>
      </c>
      <c r="D27" s="53" t="s">
        <v>76</v>
      </c>
      <c r="E27" s="54">
        <v>1991</v>
      </c>
      <c r="F27" s="54">
        <v>1992</v>
      </c>
      <c r="G27" s="54" t="s">
        <v>64</v>
      </c>
      <c r="H27" s="54">
        <v>5</v>
      </c>
      <c r="I27" s="54">
        <v>6</v>
      </c>
      <c r="J27" s="55">
        <v>5213.3</v>
      </c>
      <c r="K27" s="55">
        <v>4504.3999999999996</v>
      </c>
      <c r="L27" s="55">
        <v>150</v>
      </c>
      <c r="M27" s="56">
        <v>215</v>
      </c>
      <c r="N27" s="62">
        <v>3712081.5291590001</v>
      </c>
      <c r="O27" s="55"/>
      <c r="P27" s="63"/>
      <c r="Q27" s="63"/>
      <c r="R27" s="63">
        <v>458250.55</v>
      </c>
      <c r="S27" s="63">
        <v>3253830.9791589999</v>
      </c>
      <c r="T27" s="55">
        <v>0</v>
      </c>
      <c r="U27" s="63">
        <v>797.54243923147897</v>
      </c>
      <c r="V27" s="63">
        <v>797.54243923147897</v>
      </c>
      <c r="W27" s="59">
        <v>2022</v>
      </c>
      <c r="X27" s="6" t="e">
        <v>#REF!</v>
      </c>
      <c r="Z27" s="62">
        <f t="shared" si="7"/>
        <v>22984871.147637248</v>
      </c>
      <c r="AA27" s="55">
        <v>8923099.0413838699</v>
      </c>
      <c r="AB27" s="55">
        <v>3819284.0558351302</v>
      </c>
      <c r="AC27" s="55">
        <v>3409399.7983082901</v>
      </c>
      <c r="AD27" s="55">
        <v>3601025.77249387</v>
      </c>
      <c r="AE27" s="55">
        <v>0</v>
      </c>
      <c r="AF27" s="55"/>
      <c r="AG27" s="55">
        <v>370474.890457089</v>
      </c>
      <c r="AH27" s="55">
        <v>0</v>
      </c>
      <c r="AI27" s="55">
        <v>0</v>
      </c>
      <c r="AJ27" s="55">
        <v>0</v>
      </c>
      <c r="AK27" s="55">
        <v>0</v>
      </c>
      <c r="AL27" s="55">
        <v>0</v>
      </c>
      <c r="AM27" s="55">
        <v>2191683.4227966298</v>
      </c>
      <c r="AN27" s="63">
        <v>229848.711476372</v>
      </c>
      <c r="AO27" s="64">
        <v>440055.45488599502</v>
      </c>
      <c r="AP27" s="61">
        <f>+N27-'Приложение №2'!E27</f>
        <v>0</v>
      </c>
      <c r="AQ27" s="1">
        <f>2134189.71-1374751.67</f>
        <v>759438.04</v>
      </c>
      <c r="AR27" s="3">
        <f t="shared" si="8"/>
        <v>490048.8</v>
      </c>
      <c r="AS27" s="3">
        <f>+(K27*10+L27*20)*12*30-2680584.06</f>
        <v>14615255.939999999</v>
      </c>
      <c r="AT27" s="6">
        <f t="shared" si="10"/>
        <v>-11361424.960841</v>
      </c>
      <c r="AW27" s="62">
        <f t="shared" si="11"/>
        <v>3712081.5291589969</v>
      </c>
      <c r="AX27" s="55"/>
      <c r="AY27" s="55"/>
      <c r="AZ27" s="55">
        <v>878254.94</v>
      </c>
      <c r="BA27" s="55"/>
      <c r="BB27" s="55">
        <v>0</v>
      </c>
      <c r="BC27" s="55"/>
      <c r="BD27" s="55"/>
      <c r="BE27" s="55">
        <v>0</v>
      </c>
      <c r="BF27" s="55">
        <v>0</v>
      </c>
      <c r="BG27" s="55">
        <v>0</v>
      </c>
      <c r="BH27" s="55">
        <v>0</v>
      </c>
      <c r="BI27" s="55">
        <v>0</v>
      </c>
      <c r="BJ27" s="55">
        <f>2191683.42279663-27761</f>
        <v>2163922.4227966298</v>
      </c>
      <c r="BK27" s="63">
        <v>229848.711476372</v>
      </c>
      <c r="BL27" s="64">
        <v>440055.45488599502</v>
      </c>
      <c r="BM27" s="8">
        <f t="shared" si="12"/>
        <v>3712081.5291589969</v>
      </c>
      <c r="BN27" s="55"/>
      <c r="BO27" s="55"/>
      <c r="BP27" s="55">
        <v>878254.94</v>
      </c>
      <c r="BQ27" s="55"/>
      <c r="BR27" s="55">
        <v>0</v>
      </c>
      <c r="BS27" s="55"/>
      <c r="BT27" s="55"/>
      <c r="BU27" s="55">
        <v>0</v>
      </c>
      <c r="BV27" s="55">
        <v>0</v>
      </c>
      <c r="BW27" s="55">
        <v>0</v>
      </c>
      <c r="BX27" s="55">
        <v>0</v>
      </c>
      <c r="BY27" s="55">
        <v>0</v>
      </c>
      <c r="BZ27" s="55">
        <f>2191683.42279663-27761</f>
        <v>2163922.4227966298</v>
      </c>
      <c r="CA27" s="63">
        <v>229848.711476372</v>
      </c>
      <c r="CB27" s="64">
        <v>440055.45488599502</v>
      </c>
    </row>
    <row r="28" spans="1:149" ht="15" customHeight="1" x14ac:dyDescent="0.25">
      <c r="A28" s="52">
        <f t="shared" si="13"/>
        <v>11</v>
      </c>
      <c r="B28" s="53">
        <f t="shared" si="14"/>
        <v>11</v>
      </c>
      <c r="C28" s="53" t="s">
        <v>75</v>
      </c>
      <c r="D28" s="53" t="s">
        <v>77</v>
      </c>
      <c r="E28" s="54">
        <v>1996</v>
      </c>
      <c r="F28" s="54">
        <v>1996</v>
      </c>
      <c r="G28" s="54" t="s">
        <v>64</v>
      </c>
      <c r="H28" s="54">
        <v>9</v>
      </c>
      <c r="I28" s="54">
        <v>2</v>
      </c>
      <c r="J28" s="55">
        <v>5868.8</v>
      </c>
      <c r="K28" s="55">
        <v>4891.1000000000004</v>
      </c>
      <c r="L28" s="55">
        <v>103.4</v>
      </c>
      <c r="M28" s="56">
        <v>176</v>
      </c>
      <c r="N28" s="62">
        <v>6156349.6058218498</v>
      </c>
      <c r="O28" s="55"/>
      <c r="P28" s="63">
        <v>0</v>
      </c>
      <c r="Q28" s="63"/>
      <c r="R28" s="63">
        <v>2916099.9</v>
      </c>
      <c r="S28" s="63">
        <v>3240249.7058218499</v>
      </c>
      <c r="T28" s="55">
        <v>0</v>
      </c>
      <c r="U28" s="63">
        <v>1232.6258095548801</v>
      </c>
      <c r="V28" s="63">
        <v>1232.6258095548801</v>
      </c>
      <c r="W28" s="59">
        <v>2022</v>
      </c>
      <c r="X28" s="6" t="e">
        <v>#REF!</v>
      </c>
      <c r="Z28" s="62">
        <f t="shared" si="7"/>
        <v>26916272.679462217</v>
      </c>
      <c r="AA28" s="55">
        <v>11954408.568709699</v>
      </c>
      <c r="AB28" s="55">
        <v>4782903.5702124899</v>
      </c>
      <c r="AC28" s="55">
        <v>3532642.50892779</v>
      </c>
      <c r="AD28" s="55">
        <v>2257520.5141524901</v>
      </c>
      <c r="AE28" s="55">
        <v>0</v>
      </c>
      <c r="AF28" s="55"/>
      <c r="AG28" s="55">
        <v>531117.68749178003</v>
      </c>
      <c r="AH28" s="55">
        <v>0</v>
      </c>
      <c r="AI28" s="55"/>
      <c r="AJ28" s="55">
        <v>0</v>
      </c>
      <c r="AK28" s="55">
        <v>0</v>
      </c>
      <c r="AL28" s="55">
        <v>0</v>
      </c>
      <c r="AM28" s="55">
        <v>2917548.1015033401</v>
      </c>
      <c r="AN28" s="63">
        <v>321479.91337035998</v>
      </c>
      <c r="AO28" s="64">
        <v>618651.81509427296</v>
      </c>
      <c r="AP28" s="61">
        <f>+N28-'Приложение №2'!E28</f>
        <v>0</v>
      </c>
      <c r="AQ28" s="1">
        <f>3041149.84-317048.16</f>
        <v>2724101.6799999997</v>
      </c>
      <c r="AR28" s="3">
        <f>+(K28*13.29+L28*22.52)*12*0.85</f>
        <v>686779.12739999988</v>
      </c>
      <c r="AS28" s="3">
        <f>+(K28*13.29+L28*22.52)*12*30-2665031.47</f>
        <v>21574231.849999998</v>
      </c>
      <c r="AT28" s="6">
        <f t="shared" si="10"/>
        <v>-18333982.144178148</v>
      </c>
      <c r="AW28" s="62">
        <f t="shared" si="11"/>
        <v>6156349.6058218479</v>
      </c>
      <c r="AX28" s="55">
        <v>2699032.56</v>
      </c>
      <c r="AY28" s="55">
        <v>2261633.31</v>
      </c>
      <c r="AZ28" s="55"/>
      <c r="BA28" s="55">
        <v>818058.15</v>
      </c>
      <c r="BB28" s="55">
        <v>0</v>
      </c>
      <c r="BC28" s="55"/>
      <c r="BD28" s="55"/>
      <c r="BE28" s="55">
        <v>0</v>
      </c>
      <c r="BF28" s="55"/>
      <c r="BG28" s="55">
        <v>0</v>
      </c>
      <c r="BH28" s="55">
        <v>0</v>
      </c>
      <c r="BI28" s="55">
        <v>0</v>
      </c>
      <c r="BJ28" s="55"/>
      <c r="BK28" s="63"/>
      <c r="BL28" s="64">
        <v>377625.58582184702</v>
      </c>
      <c r="BM28" s="8">
        <f t="shared" si="12"/>
        <v>6156349.6058218479</v>
      </c>
      <c r="BN28" s="55">
        <v>2699032.56</v>
      </c>
      <c r="BO28" s="55">
        <v>2261633.31</v>
      </c>
      <c r="BP28" s="55"/>
      <c r="BQ28" s="55">
        <v>818058.15</v>
      </c>
      <c r="BR28" s="55">
        <v>0</v>
      </c>
      <c r="BS28" s="55"/>
      <c r="BT28" s="55"/>
      <c r="BU28" s="55">
        <v>0</v>
      </c>
      <c r="BV28" s="55"/>
      <c r="BW28" s="55">
        <v>0</v>
      </c>
      <c r="BX28" s="55">
        <v>0</v>
      </c>
      <c r="BY28" s="55">
        <v>0</v>
      </c>
      <c r="BZ28" s="55"/>
      <c r="CA28" s="63"/>
      <c r="CB28" s="64">
        <v>377625.58582184702</v>
      </c>
    </row>
    <row r="29" spans="1:149" x14ac:dyDescent="0.25">
      <c r="A29" s="52">
        <f t="shared" si="13"/>
        <v>12</v>
      </c>
      <c r="B29" s="53">
        <f t="shared" si="14"/>
        <v>12</v>
      </c>
      <c r="C29" s="53" t="s">
        <v>78</v>
      </c>
      <c r="D29" s="53" t="s">
        <v>79</v>
      </c>
      <c r="E29" s="54">
        <v>1986</v>
      </c>
      <c r="F29" s="54">
        <v>2016</v>
      </c>
      <c r="G29" s="54" t="s">
        <v>64</v>
      </c>
      <c r="H29" s="54">
        <v>9</v>
      </c>
      <c r="I29" s="54">
        <v>1</v>
      </c>
      <c r="J29" s="55">
        <v>3158.3</v>
      </c>
      <c r="K29" s="55">
        <v>2706.55</v>
      </c>
      <c r="L29" s="55">
        <v>0</v>
      </c>
      <c r="M29" s="56">
        <v>111</v>
      </c>
      <c r="N29" s="62">
        <v>13036215.77</v>
      </c>
      <c r="O29" s="55"/>
      <c r="P29" s="66">
        <v>12411219.705962</v>
      </c>
      <c r="Q29" s="66"/>
      <c r="R29" s="66">
        <v>624996.06000000006</v>
      </c>
      <c r="S29" s="63"/>
      <c r="T29" s="55">
        <v>4.0380009450018397E-3</v>
      </c>
      <c r="U29" s="63">
        <v>4816.5434852487497</v>
      </c>
      <c r="V29" s="63">
        <v>4816.5434852487497</v>
      </c>
      <c r="W29" s="59">
        <v>2022</v>
      </c>
      <c r="X29" s="6" t="e">
        <f>+#REF!-#REF!</f>
        <v>#REF!</v>
      </c>
      <c r="Z29" s="62">
        <f t="shared" si="7"/>
        <v>13982972.132639853</v>
      </c>
      <c r="AA29" s="55">
        <v>0</v>
      </c>
      <c r="AB29" s="55">
        <v>0</v>
      </c>
      <c r="AC29" s="55">
        <v>0</v>
      </c>
      <c r="AD29" s="55">
        <v>0</v>
      </c>
      <c r="AE29" s="55">
        <v>0</v>
      </c>
      <c r="AF29" s="55"/>
      <c r="AG29" s="55">
        <v>0</v>
      </c>
      <c r="AH29" s="55">
        <v>0</v>
      </c>
      <c r="AI29" s="55">
        <v>2807713.8314634198</v>
      </c>
      <c r="AJ29" s="55">
        <v>0</v>
      </c>
      <c r="AK29" s="55">
        <v>9402008.4996973798</v>
      </c>
      <c r="AL29" s="55">
        <v>0</v>
      </c>
      <c r="AM29" s="55">
        <v>1366418.1816375901</v>
      </c>
      <c r="AN29" s="63">
        <v>139829.72132639901</v>
      </c>
      <c r="AO29" s="64">
        <v>267001.89851506398</v>
      </c>
      <c r="AP29" s="61">
        <f>+N29-'Приложение №2'!E29</f>
        <v>0</v>
      </c>
      <c r="AR29" s="3">
        <f>+(K29*13.29+L29*22.52)*12*0.85</f>
        <v>366894.5049</v>
      </c>
      <c r="AT29" s="6"/>
      <c r="AW29" s="62">
        <f t="shared" si="11"/>
        <v>13036215.770000001</v>
      </c>
      <c r="AX29" s="55">
        <v>0</v>
      </c>
      <c r="AY29" s="55">
        <v>0</v>
      </c>
      <c r="AZ29" s="55">
        <v>0</v>
      </c>
      <c r="BA29" s="55">
        <v>0</v>
      </c>
      <c r="BB29" s="55">
        <v>0</v>
      </c>
      <c r="BC29" s="55"/>
      <c r="BD29" s="55"/>
      <c r="BE29" s="55">
        <v>0</v>
      </c>
      <c r="BF29" s="67">
        <v>2807713.83</v>
      </c>
      <c r="BG29" s="67">
        <v>0</v>
      </c>
      <c r="BH29" s="67">
        <v>9577950</v>
      </c>
      <c r="BI29" s="67">
        <v>0</v>
      </c>
      <c r="BJ29" s="67">
        <v>377498.73</v>
      </c>
      <c r="BK29" s="66">
        <v>8000</v>
      </c>
      <c r="BL29" s="68">
        <v>265053.21000000002</v>
      </c>
      <c r="BM29" s="8">
        <f t="shared" si="12"/>
        <v>13036215.770000001</v>
      </c>
      <c r="BN29" s="55">
        <v>0</v>
      </c>
      <c r="BO29" s="55">
        <v>0</v>
      </c>
      <c r="BP29" s="55">
        <v>0</v>
      </c>
      <c r="BQ29" s="55">
        <v>0</v>
      </c>
      <c r="BR29" s="55">
        <v>0</v>
      </c>
      <c r="BS29" s="55"/>
      <c r="BT29" s="55"/>
      <c r="BU29" s="55">
        <v>0</v>
      </c>
      <c r="BV29" s="67">
        <v>2807713.83</v>
      </c>
      <c r="BW29" s="67">
        <v>0</v>
      </c>
      <c r="BX29" s="67">
        <v>9577950</v>
      </c>
      <c r="BY29" s="67">
        <v>0</v>
      </c>
      <c r="BZ29" s="67">
        <v>377498.73</v>
      </c>
      <c r="CA29" s="66">
        <v>8000</v>
      </c>
      <c r="CB29" s="68">
        <v>265053.21000000002</v>
      </c>
    </row>
    <row r="30" spans="1:149" x14ac:dyDescent="0.25">
      <c r="A30" s="52">
        <f t="shared" si="13"/>
        <v>13</v>
      </c>
      <c r="B30" s="53">
        <f t="shared" si="14"/>
        <v>13</v>
      </c>
      <c r="C30" s="53" t="s">
        <v>75</v>
      </c>
      <c r="D30" s="53" t="s">
        <v>80</v>
      </c>
      <c r="E30" s="54">
        <v>1990</v>
      </c>
      <c r="F30" s="54">
        <v>2017</v>
      </c>
      <c r="G30" s="54" t="s">
        <v>64</v>
      </c>
      <c r="H30" s="54">
        <v>10</v>
      </c>
      <c r="I30" s="54">
        <v>3</v>
      </c>
      <c r="J30" s="55">
        <v>10664.8</v>
      </c>
      <c r="K30" s="55">
        <v>8965.7000000000007</v>
      </c>
      <c r="L30" s="55">
        <v>241.2</v>
      </c>
      <c r="M30" s="56">
        <v>365</v>
      </c>
      <c r="N30" s="62">
        <v>947792.52460360399</v>
      </c>
      <c r="O30" s="55"/>
      <c r="P30" s="63"/>
      <c r="Q30" s="63"/>
      <c r="R30" s="63">
        <v>529034.98</v>
      </c>
      <c r="S30" s="63">
        <v>418757.54460360401</v>
      </c>
      <c r="T30" s="55">
        <v>0</v>
      </c>
      <c r="U30" s="63">
        <v>102.94371879825</v>
      </c>
      <c r="V30" s="63">
        <v>102.94371879825</v>
      </c>
      <c r="W30" s="59">
        <v>2022</v>
      </c>
      <c r="X30" s="6" t="e">
        <v>#REF!</v>
      </c>
      <c r="Z30" s="62">
        <f t="shared" si="7"/>
        <v>17451465.54755237</v>
      </c>
      <c r="AA30" s="55"/>
      <c r="AB30" s="55"/>
      <c r="AC30" s="55">
        <v>6509638.5673844097</v>
      </c>
      <c r="AD30" s="55">
        <v>4159957.4733218299</v>
      </c>
      <c r="AE30" s="55">
        <v>0</v>
      </c>
      <c r="AF30" s="55"/>
      <c r="AG30" s="55">
        <v>978696.30838074198</v>
      </c>
      <c r="AH30" s="55">
        <v>0</v>
      </c>
      <c r="AI30" s="55">
        <v>0</v>
      </c>
      <c r="AJ30" s="55">
        <v>0</v>
      </c>
      <c r="AK30" s="55">
        <v>0</v>
      </c>
      <c r="AL30" s="55">
        <v>0</v>
      </c>
      <c r="AM30" s="55">
        <v>4391061.0735815102</v>
      </c>
      <c r="AN30" s="63">
        <v>482934.91690454801</v>
      </c>
      <c r="AO30" s="64">
        <v>929177.20797933103</v>
      </c>
      <c r="AP30" s="61">
        <f>+N30-'Приложение №2'!E30</f>
        <v>0</v>
      </c>
      <c r="AQ30" s="1">
        <v>6040448.1299999999</v>
      </c>
      <c r="AR30" s="3">
        <f>+(K30*13.29+L30*22.52)*12*0.85</f>
        <v>1270776.9653999999</v>
      </c>
      <c r="AS30" s="3">
        <f>+(K30*13.29+L30*22.52)*12*30-11155353.44</f>
        <v>33695598.280000001</v>
      </c>
      <c r="AT30" s="6">
        <f>+S30-AS30</f>
        <v>-33276840.735396396</v>
      </c>
      <c r="AW30" s="62">
        <f t="shared" si="11"/>
        <v>947792.52460360434</v>
      </c>
      <c r="AX30" s="55"/>
      <c r="AY30" s="55"/>
      <c r="AZ30" s="55"/>
      <c r="BA30" s="55">
        <v>856822.68</v>
      </c>
      <c r="BB30" s="55">
        <v>0</v>
      </c>
      <c r="BC30" s="55"/>
      <c r="BD30" s="55"/>
      <c r="BE30" s="55">
        <v>0</v>
      </c>
      <c r="BF30" s="55">
        <v>0</v>
      </c>
      <c r="BG30" s="55">
        <v>0</v>
      </c>
      <c r="BH30" s="55">
        <v>0</v>
      </c>
      <c r="BI30" s="55">
        <v>0</v>
      </c>
      <c r="BJ30" s="55"/>
      <c r="BK30" s="63"/>
      <c r="BL30" s="64">
        <v>90969.844603604302</v>
      </c>
      <c r="BM30" s="8">
        <f t="shared" si="12"/>
        <v>947792.52460360434</v>
      </c>
      <c r="BN30" s="55"/>
      <c r="BO30" s="55"/>
      <c r="BP30" s="55"/>
      <c r="BQ30" s="55">
        <v>856822.68</v>
      </c>
      <c r="BR30" s="55">
        <v>0</v>
      </c>
      <c r="BS30" s="55"/>
      <c r="BT30" s="55"/>
      <c r="BU30" s="55">
        <v>0</v>
      </c>
      <c r="BV30" s="55">
        <v>0</v>
      </c>
      <c r="BW30" s="55">
        <v>0</v>
      </c>
      <c r="BX30" s="55">
        <v>0</v>
      </c>
      <c r="BY30" s="55">
        <v>0</v>
      </c>
      <c r="BZ30" s="55"/>
      <c r="CA30" s="63"/>
      <c r="CB30" s="64">
        <v>90969.844603604302</v>
      </c>
    </row>
    <row r="31" spans="1:149" x14ac:dyDescent="0.25">
      <c r="A31" s="52">
        <f t="shared" si="13"/>
        <v>14</v>
      </c>
      <c r="B31" s="53">
        <f t="shared" si="14"/>
        <v>14</v>
      </c>
      <c r="C31" s="53" t="s">
        <v>75</v>
      </c>
      <c r="D31" s="53" t="s">
        <v>81</v>
      </c>
      <c r="E31" s="54">
        <v>1990</v>
      </c>
      <c r="F31" s="54">
        <v>2017</v>
      </c>
      <c r="G31" s="54" t="s">
        <v>64</v>
      </c>
      <c r="H31" s="54">
        <v>9</v>
      </c>
      <c r="I31" s="54">
        <v>1</v>
      </c>
      <c r="J31" s="55">
        <v>4531.3</v>
      </c>
      <c r="K31" s="55">
        <v>3818.4</v>
      </c>
      <c r="L31" s="55">
        <v>61.2</v>
      </c>
      <c r="M31" s="56">
        <v>144</v>
      </c>
      <c r="N31" s="62">
        <v>3204810.5757265999</v>
      </c>
      <c r="O31" s="55"/>
      <c r="P31" s="63">
        <v>339282.04</v>
      </c>
      <c r="Q31" s="63"/>
      <c r="R31" s="63">
        <v>120075.015726597</v>
      </c>
      <c r="S31" s="63">
        <v>2745453.52</v>
      </c>
      <c r="T31" s="55">
        <v>0</v>
      </c>
      <c r="U31" s="63">
        <v>826.06726872012496</v>
      </c>
      <c r="V31" s="63">
        <v>826.06726872012496</v>
      </c>
      <c r="W31" s="59">
        <v>2022</v>
      </c>
      <c r="X31" s="6" t="e">
        <v>#REF!</v>
      </c>
      <c r="Z31" s="62">
        <f t="shared" si="7"/>
        <v>27882965.040892042</v>
      </c>
      <c r="AA31" s="55">
        <v>9323379.5626275707</v>
      </c>
      <c r="AB31" s="55">
        <v>3730241.03536647</v>
      </c>
      <c r="AC31" s="55">
        <v>2755148.1765493699</v>
      </c>
      <c r="AD31" s="55">
        <v>1760665.9922058799</v>
      </c>
      <c r="AE31" s="55">
        <v>0</v>
      </c>
      <c r="AF31" s="55"/>
      <c r="AG31" s="55">
        <v>414224.74097732297</v>
      </c>
      <c r="AH31" s="55">
        <v>0</v>
      </c>
      <c r="AI31" s="55">
        <v>0</v>
      </c>
      <c r="AJ31" s="55">
        <v>6482652.3339526597</v>
      </c>
      <c r="AK31" s="55">
        <v>0</v>
      </c>
      <c r="AL31" s="55">
        <v>0</v>
      </c>
      <c r="AM31" s="55">
        <v>2602794.8614832498</v>
      </c>
      <c r="AN31" s="63">
        <v>278829.65040892002</v>
      </c>
      <c r="AO31" s="64">
        <v>535028.687320597</v>
      </c>
      <c r="AP31" s="61">
        <f>+N31-'Приложение №2'!E31</f>
        <v>0</v>
      </c>
      <c r="AQ31" s="1" t="e">
        <v>#REF!</v>
      </c>
      <c r="AR31" s="3">
        <f>+(K31*13.29+L31*22.52)*12*0.85</f>
        <v>531672.55200000003</v>
      </c>
      <c r="AS31" s="3" t="e">
        <v>#REF!</v>
      </c>
      <c r="AT31" s="6" t="e">
        <f>+S31-AS31</f>
        <v>#REF!</v>
      </c>
      <c r="AW31" s="62">
        <f t="shared" si="11"/>
        <v>3204810.5757265966</v>
      </c>
      <c r="AX31" s="55"/>
      <c r="AY31" s="55">
        <v>1900545.16</v>
      </c>
      <c r="AZ31" s="55"/>
      <c r="BA31" s="55">
        <v>1184190.3999999999</v>
      </c>
      <c r="BB31" s="55">
        <v>0</v>
      </c>
      <c r="BC31" s="55"/>
      <c r="BD31" s="55"/>
      <c r="BE31" s="55">
        <v>0</v>
      </c>
      <c r="BF31" s="55">
        <v>0</v>
      </c>
      <c r="BG31" s="55"/>
      <c r="BH31" s="55">
        <v>0</v>
      </c>
      <c r="BI31" s="55">
        <v>0</v>
      </c>
      <c r="BJ31" s="55"/>
      <c r="BK31" s="63"/>
      <c r="BL31" s="64">
        <v>120075.015726597</v>
      </c>
      <c r="BM31" s="8">
        <f t="shared" si="12"/>
        <v>3204810.5757265966</v>
      </c>
      <c r="BN31" s="55"/>
      <c r="BO31" s="55">
        <v>1900545.16</v>
      </c>
      <c r="BP31" s="55"/>
      <c r="BQ31" s="55">
        <v>1184190.3999999999</v>
      </c>
      <c r="BR31" s="55">
        <v>0</v>
      </c>
      <c r="BS31" s="55"/>
      <c r="BT31" s="55"/>
      <c r="BU31" s="55">
        <v>0</v>
      </c>
      <c r="BV31" s="55">
        <v>0</v>
      </c>
      <c r="BW31" s="55"/>
      <c r="BX31" s="55">
        <v>0</v>
      </c>
      <c r="BY31" s="55">
        <v>0</v>
      </c>
      <c r="BZ31" s="55"/>
      <c r="CA31" s="63"/>
      <c r="CB31" s="64">
        <v>120075.015726597</v>
      </c>
    </row>
    <row r="32" spans="1:149" x14ac:dyDescent="0.25">
      <c r="A32" s="52">
        <f t="shared" si="13"/>
        <v>15</v>
      </c>
      <c r="B32" s="53">
        <f t="shared" si="14"/>
        <v>15</v>
      </c>
      <c r="C32" s="53" t="s">
        <v>75</v>
      </c>
      <c r="D32" s="53" t="s">
        <v>82</v>
      </c>
      <c r="E32" s="54">
        <v>1988</v>
      </c>
      <c r="F32" s="54">
        <v>2016</v>
      </c>
      <c r="G32" s="54" t="s">
        <v>64</v>
      </c>
      <c r="H32" s="54">
        <v>5</v>
      </c>
      <c r="I32" s="54">
        <v>2</v>
      </c>
      <c r="J32" s="55">
        <v>4465.5</v>
      </c>
      <c r="K32" s="55">
        <v>2945.85</v>
      </c>
      <c r="L32" s="55">
        <v>451.6</v>
      </c>
      <c r="M32" s="56">
        <v>169</v>
      </c>
      <c r="N32" s="62">
        <v>7091508.1283725398</v>
      </c>
      <c r="O32" s="55"/>
      <c r="P32" s="63"/>
      <c r="Q32" s="63"/>
      <c r="R32" s="63">
        <v>2137034.25</v>
      </c>
      <c r="S32" s="63">
        <v>3849733.41</v>
      </c>
      <c r="T32" s="55">
        <v>1104740.4683725401</v>
      </c>
      <c r="U32" s="63">
        <v>2087.30316218709</v>
      </c>
      <c r="V32" s="63">
        <v>2087.30316218709</v>
      </c>
      <c r="W32" s="59">
        <v>2022</v>
      </c>
      <c r="X32" s="6" t="e">
        <v>#REF!</v>
      </c>
      <c r="Z32" s="62">
        <f t="shared" si="7"/>
        <v>40635058.082376592</v>
      </c>
      <c r="AA32" s="55">
        <v>7511049.4806612199</v>
      </c>
      <c r="AB32" s="55">
        <v>3214895.5638655699</v>
      </c>
      <c r="AC32" s="55">
        <v>0</v>
      </c>
      <c r="AD32" s="55">
        <v>3031175.8989669299</v>
      </c>
      <c r="AE32" s="55">
        <v>0</v>
      </c>
      <c r="AF32" s="55"/>
      <c r="AG32" s="55">
        <v>311848.52041429101</v>
      </c>
      <c r="AH32" s="55">
        <v>0</v>
      </c>
      <c r="AI32" s="55">
        <v>0</v>
      </c>
      <c r="AJ32" s="55">
        <v>5678337.1610445501</v>
      </c>
      <c r="AK32" s="55">
        <v>15731938.2183736</v>
      </c>
      <c r="AL32" s="55">
        <v>0</v>
      </c>
      <c r="AM32" s="55">
        <v>3973603.4311193898</v>
      </c>
      <c r="AN32" s="63">
        <v>406350.58082376601</v>
      </c>
      <c r="AO32" s="64">
        <v>775859.22710727504</v>
      </c>
      <c r="AP32" s="61">
        <f>+N32-'Приложение №2'!E32</f>
        <v>0</v>
      </c>
      <c r="AQ32" s="1">
        <v>1790670.12</v>
      </c>
      <c r="AR32" s="3">
        <f>+(K32*10+L32*20)*12*0.85</f>
        <v>392603.1</v>
      </c>
      <c r="AS32" s="3">
        <f>+(K32*10+L32*20)*12*30</f>
        <v>13856580</v>
      </c>
      <c r="AT32" s="6">
        <f>+S32-AS32</f>
        <v>-10006846.59</v>
      </c>
      <c r="AW32" s="62">
        <f t="shared" si="11"/>
        <v>7091508.1283725407</v>
      </c>
      <c r="AX32" s="55">
        <v>2005222.15</v>
      </c>
      <c r="AY32" s="55"/>
      <c r="AZ32" s="55">
        <v>0</v>
      </c>
      <c r="BA32" s="55"/>
      <c r="BB32" s="55">
        <v>0</v>
      </c>
      <c r="BC32" s="55"/>
      <c r="BD32" s="55"/>
      <c r="BE32" s="55">
        <v>0</v>
      </c>
      <c r="BF32" s="55">
        <v>0</v>
      </c>
      <c r="BG32" s="55">
        <v>4791041.3099999996</v>
      </c>
      <c r="BH32" s="55"/>
      <c r="BI32" s="55">
        <v>0</v>
      </c>
      <c r="BJ32" s="55"/>
      <c r="BK32" s="63"/>
      <c r="BL32" s="64">
        <v>295244.66837254202</v>
      </c>
      <c r="BM32" s="8">
        <f t="shared" si="12"/>
        <v>7091508.1283725407</v>
      </c>
      <c r="BN32" s="55">
        <v>2005222.15</v>
      </c>
      <c r="BO32" s="55"/>
      <c r="BP32" s="55">
        <v>0</v>
      </c>
      <c r="BQ32" s="55"/>
      <c r="BR32" s="55">
        <v>0</v>
      </c>
      <c r="BS32" s="55"/>
      <c r="BT32" s="55"/>
      <c r="BU32" s="55">
        <v>0</v>
      </c>
      <c r="BV32" s="55">
        <v>0</v>
      </c>
      <c r="BW32" s="55">
        <v>4791041.3099999996</v>
      </c>
      <c r="BX32" s="55"/>
      <c r="BY32" s="55">
        <v>0</v>
      </c>
      <c r="BZ32" s="55"/>
      <c r="CA32" s="63"/>
      <c r="CB32" s="64">
        <v>295244.66837254202</v>
      </c>
    </row>
    <row r="33" spans="1:80" x14ac:dyDescent="0.25">
      <c r="A33" s="52">
        <f t="shared" si="13"/>
        <v>16</v>
      </c>
      <c r="B33" s="53">
        <f t="shared" si="14"/>
        <v>16</v>
      </c>
      <c r="C33" s="53" t="s">
        <v>78</v>
      </c>
      <c r="D33" s="53" t="s">
        <v>83</v>
      </c>
      <c r="E33" s="54">
        <v>1985</v>
      </c>
      <c r="F33" s="54">
        <v>2011</v>
      </c>
      <c r="G33" s="54" t="s">
        <v>64</v>
      </c>
      <c r="H33" s="54">
        <v>5</v>
      </c>
      <c r="I33" s="54">
        <v>12</v>
      </c>
      <c r="J33" s="55">
        <v>12985.9</v>
      </c>
      <c r="K33" s="55">
        <v>10520.9</v>
      </c>
      <c r="L33" s="55">
        <v>299.10000000000002</v>
      </c>
      <c r="M33" s="56">
        <v>439</v>
      </c>
      <c r="N33" s="62">
        <v>50879011.909999996</v>
      </c>
      <c r="O33" s="55"/>
      <c r="P33" s="66">
        <v>44003584.140000001</v>
      </c>
      <c r="Q33" s="66"/>
      <c r="R33" s="66">
        <v>6875427.7699999996</v>
      </c>
      <c r="S33" s="63"/>
      <c r="T33" s="55">
        <v>0</v>
      </c>
      <c r="U33" s="63">
        <v>4702.3116367837301</v>
      </c>
      <c r="V33" s="63">
        <v>4702.3116367837301</v>
      </c>
      <c r="W33" s="59">
        <v>2022</v>
      </c>
      <c r="X33" s="6" t="e">
        <f>+#REF!-#REF!</f>
        <v>#REF!</v>
      </c>
      <c r="Z33" s="62">
        <f t="shared" si="7"/>
        <v>68774286.833452955</v>
      </c>
      <c r="AA33" s="55">
        <v>0</v>
      </c>
      <c r="AB33" s="55">
        <v>0</v>
      </c>
      <c r="AC33" s="55">
        <v>0</v>
      </c>
      <c r="AD33" s="55">
        <v>8603725.4971600696</v>
      </c>
      <c r="AE33" s="55">
        <v>0</v>
      </c>
      <c r="AF33" s="55"/>
      <c r="AG33" s="55">
        <v>0</v>
      </c>
      <c r="AH33" s="55">
        <v>0</v>
      </c>
      <c r="AI33" s="55">
        <v>35269812.250871003</v>
      </c>
      <c r="AJ33" s="55">
        <v>16117459.310296301</v>
      </c>
      <c r="AK33" s="55">
        <v>0</v>
      </c>
      <c r="AL33" s="55">
        <v>0</v>
      </c>
      <c r="AM33" s="55">
        <v>6783665.3034309298</v>
      </c>
      <c r="AN33" s="63">
        <v>687742.86833452899</v>
      </c>
      <c r="AO33" s="64">
        <v>1311881.60336011</v>
      </c>
      <c r="AP33" s="61">
        <f>+N33-'Приложение №2'!E33</f>
        <v>0</v>
      </c>
      <c r="AR33" s="3">
        <f>+(K33*10+L33*20)*12*0.85</f>
        <v>1134148.2</v>
      </c>
      <c r="AT33" s="6"/>
      <c r="AW33" s="62">
        <f t="shared" si="11"/>
        <v>50879011.910000004</v>
      </c>
      <c r="AX33" s="55">
        <v>0</v>
      </c>
      <c r="AY33" s="55">
        <v>0</v>
      </c>
      <c r="AZ33" s="55">
        <v>0</v>
      </c>
      <c r="BA33" s="67">
        <v>6678313.5999999996</v>
      </c>
      <c r="BB33" s="67">
        <v>0</v>
      </c>
      <c r="BC33" s="67"/>
      <c r="BD33" s="67"/>
      <c r="BE33" s="67">
        <v>0</v>
      </c>
      <c r="BF33" s="67">
        <v>25055410.800000001</v>
      </c>
      <c r="BG33" s="67">
        <v>16117459.310000001</v>
      </c>
      <c r="BH33" s="67">
        <v>0</v>
      </c>
      <c r="BI33" s="67">
        <v>0</v>
      </c>
      <c r="BJ33" s="67">
        <v>1734020.86</v>
      </c>
      <c r="BK33" s="66">
        <v>10000</v>
      </c>
      <c r="BL33" s="68">
        <v>1283807.3400000001</v>
      </c>
      <c r="BM33" s="8">
        <f t="shared" si="12"/>
        <v>50879011.910000004</v>
      </c>
      <c r="BN33" s="55">
        <v>0</v>
      </c>
      <c r="BO33" s="55">
        <v>0</v>
      </c>
      <c r="BP33" s="55">
        <v>0</v>
      </c>
      <c r="BQ33" s="67">
        <v>6678313.5999999996</v>
      </c>
      <c r="BR33" s="67">
        <v>0</v>
      </c>
      <c r="BS33" s="67"/>
      <c r="BT33" s="67"/>
      <c r="BU33" s="67">
        <v>0</v>
      </c>
      <c r="BV33" s="67">
        <v>25055410.800000001</v>
      </c>
      <c r="BW33" s="67">
        <v>16117459.310000001</v>
      </c>
      <c r="BX33" s="67">
        <v>0</v>
      </c>
      <c r="BY33" s="67">
        <v>0</v>
      </c>
      <c r="BZ33" s="67">
        <v>1734020.86</v>
      </c>
      <c r="CA33" s="66">
        <v>10000</v>
      </c>
      <c r="CB33" s="68">
        <v>1283807.3400000001</v>
      </c>
    </row>
    <row r="34" spans="1:80" x14ac:dyDescent="0.25">
      <c r="A34" s="52">
        <f t="shared" si="13"/>
        <v>17</v>
      </c>
      <c r="B34" s="53">
        <f t="shared" si="14"/>
        <v>17</v>
      </c>
      <c r="C34" s="53" t="s">
        <v>75</v>
      </c>
      <c r="D34" s="53" t="s">
        <v>84</v>
      </c>
      <c r="E34" s="54">
        <v>1981</v>
      </c>
      <c r="F34" s="54">
        <v>2016</v>
      </c>
      <c r="G34" s="54" t="s">
        <v>64</v>
      </c>
      <c r="H34" s="54">
        <v>4</v>
      </c>
      <c r="I34" s="54">
        <v>3</v>
      </c>
      <c r="J34" s="55">
        <v>3910.2</v>
      </c>
      <c r="K34" s="55">
        <v>2017.9</v>
      </c>
      <c r="L34" s="55">
        <v>997.9</v>
      </c>
      <c r="M34" s="56">
        <v>113</v>
      </c>
      <c r="N34" s="62">
        <v>10558217.9964561</v>
      </c>
      <c r="O34" s="55"/>
      <c r="P34" s="63"/>
      <c r="Q34" s="63"/>
      <c r="R34" s="63">
        <v>806677.1</v>
      </c>
      <c r="S34" s="63">
        <v>9751540.8964561392</v>
      </c>
      <c r="T34" s="55">
        <v>0</v>
      </c>
      <c r="U34" s="63">
        <v>3500.9675696187201</v>
      </c>
      <c r="V34" s="63">
        <v>3500.9675696187201</v>
      </c>
      <c r="W34" s="59">
        <v>2022</v>
      </c>
      <c r="X34" s="6" t="e">
        <v>#REF!</v>
      </c>
      <c r="Z34" s="62">
        <f t="shared" si="7"/>
        <v>33549604.466355488</v>
      </c>
      <c r="AA34" s="55">
        <v>9163753.0558547899</v>
      </c>
      <c r="AB34" s="55">
        <v>4716823.2</v>
      </c>
      <c r="AC34" s="55">
        <v>2695930.7316036099</v>
      </c>
      <c r="AD34" s="55">
        <v>0</v>
      </c>
      <c r="AE34" s="55">
        <v>0</v>
      </c>
      <c r="AF34" s="55"/>
      <c r="AG34" s="55">
        <v>295975.88879684103</v>
      </c>
      <c r="AH34" s="55">
        <v>0</v>
      </c>
      <c r="AI34" s="55">
        <v>13238455.132672099</v>
      </c>
      <c r="AJ34" s="55">
        <v>0</v>
      </c>
      <c r="AK34" s="55">
        <v>0</v>
      </c>
      <c r="AL34" s="55">
        <v>0</v>
      </c>
      <c r="AM34" s="55">
        <v>2552926.0485136802</v>
      </c>
      <c r="AN34" s="63">
        <v>295470.26754077501</v>
      </c>
      <c r="AO34" s="64">
        <v>590270.14137369301</v>
      </c>
      <c r="AP34" s="61">
        <f>+N34-'Приложение №2'!E34</f>
        <v>-4.0978193283081055E-8</v>
      </c>
      <c r="AQ34" s="1">
        <v>954415.48</v>
      </c>
      <c r="AR34" s="3">
        <f>+(K34*10+L34*20)*12*0.85</f>
        <v>409397.39999999997</v>
      </c>
      <c r="AS34" s="3">
        <f>+(K34*10+L34*20)*12*30</f>
        <v>14449320</v>
      </c>
      <c r="AT34" s="6">
        <f t="shared" ref="AT34:AT40" si="15">+S34-AS34</f>
        <v>-4697779.1035438608</v>
      </c>
      <c r="AW34" s="62">
        <f t="shared" si="11"/>
        <v>10558217.996456141</v>
      </c>
      <c r="AX34" s="55"/>
      <c r="AY34" s="55">
        <v>4716823.2</v>
      </c>
      <c r="AZ34" s="55"/>
      <c r="BA34" s="55">
        <v>0</v>
      </c>
      <c r="BB34" s="55">
        <v>0</v>
      </c>
      <c r="BC34" s="55"/>
      <c r="BD34" s="55"/>
      <c r="BE34" s="55">
        <v>0</v>
      </c>
      <c r="BF34" s="55">
        <v>5310079.2</v>
      </c>
      <c r="BG34" s="55">
        <v>0</v>
      </c>
      <c r="BH34" s="55">
        <v>0</v>
      </c>
      <c r="BI34" s="55">
        <v>0</v>
      </c>
      <c r="BJ34" s="55"/>
      <c r="BK34" s="63"/>
      <c r="BL34" s="64">
        <v>531315.59645614005</v>
      </c>
      <c r="BM34" s="8">
        <f t="shared" si="12"/>
        <v>10558217.996456141</v>
      </c>
      <c r="BN34" s="55"/>
      <c r="BO34" s="55">
        <v>4716823.2</v>
      </c>
      <c r="BP34" s="55"/>
      <c r="BQ34" s="55">
        <v>0</v>
      </c>
      <c r="BR34" s="55">
        <v>0</v>
      </c>
      <c r="BS34" s="55"/>
      <c r="BT34" s="55"/>
      <c r="BU34" s="55">
        <v>0</v>
      </c>
      <c r="BV34" s="55">
        <v>5310079.2</v>
      </c>
      <c r="BW34" s="55">
        <v>0</v>
      </c>
      <c r="BX34" s="55">
        <v>0</v>
      </c>
      <c r="BY34" s="55">
        <v>0</v>
      </c>
      <c r="BZ34" s="55"/>
      <c r="CA34" s="63"/>
      <c r="CB34" s="64">
        <v>531315.59645614005</v>
      </c>
    </row>
    <row r="35" spans="1:80" x14ac:dyDescent="0.25">
      <c r="A35" s="52">
        <f t="shared" si="13"/>
        <v>18</v>
      </c>
      <c r="B35" s="53">
        <f t="shared" si="14"/>
        <v>18</v>
      </c>
      <c r="C35" s="53" t="s">
        <v>75</v>
      </c>
      <c r="D35" s="53" t="s">
        <v>85</v>
      </c>
      <c r="E35" s="54">
        <v>1990</v>
      </c>
      <c r="F35" s="54">
        <v>2017</v>
      </c>
      <c r="G35" s="54" t="s">
        <v>64</v>
      </c>
      <c r="H35" s="54">
        <v>10</v>
      </c>
      <c r="I35" s="54">
        <v>3</v>
      </c>
      <c r="J35" s="55">
        <v>9593.2999999999993</v>
      </c>
      <c r="K35" s="55">
        <v>8146.5</v>
      </c>
      <c r="L35" s="55">
        <v>251.7</v>
      </c>
      <c r="M35" s="56">
        <v>290</v>
      </c>
      <c r="N35" s="62">
        <v>11881010.6324392</v>
      </c>
      <c r="O35" s="55"/>
      <c r="P35" s="63">
        <v>4826750.29</v>
      </c>
      <c r="Q35" s="63"/>
      <c r="R35" s="63">
        <v>554751.74243921496</v>
      </c>
      <c r="S35" s="63">
        <v>6499508.5999999996</v>
      </c>
      <c r="T35" s="55">
        <v>0</v>
      </c>
      <c r="U35" s="63">
        <v>1414.7091796384</v>
      </c>
      <c r="V35" s="63">
        <v>1414.7091796384</v>
      </c>
      <c r="W35" s="59">
        <v>2022</v>
      </c>
      <c r="X35" s="6" t="e">
        <v>#REF!</v>
      </c>
      <c r="Z35" s="62">
        <f t="shared" si="7"/>
        <v>59075280.940424442</v>
      </c>
      <c r="AA35" s="55">
        <v>19753324.8766292</v>
      </c>
      <c r="AB35" s="55">
        <v>7903213.9091590596</v>
      </c>
      <c r="AC35" s="55">
        <v>5837297.1570079904</v>
      </c>
      <c r="AD35" s="55">
        <v>3730300.4891794799</v>
      </c>
      <c r="AE35" s="55">
        <v>0</v>
      </c>
      <c r="AF35" s="55"/>
      <c r="AG35" s="55">
        <v>877612.65381291194</v>
      </c>
      <c r="AH35" s="55">
        <v>0</v>
      </c>
      <c r="AI35" s="55">
        <v>0</v>
      </c>
      <c r="AJ35" s="55">
        <v>13734712.477877101</v>
      </c>
      <c r="AK35" s="55">
        <v>0</v>
      </c>
      <c r="AL35" s="55">
        <v>0</v>
      </c>
      <c r="AM35" s="55">
        <v>5514508.1395367002</v>
      </c>
      <c r="AN35" s="63">
        <v>590752.809404245</v>
      </c>
      <c r="AO35" s="64">
        <v>1133558.42781775</v>
      </c>
      <c r="AP35" s="61">
        <f>+N35-'Приложение №2'!E35</f>
        <v>-1.4901161193847656E-8</v>
      </c>
      <c r="AQ35" s="1">
        <v>5009993.34</v>
      </c>
      <c r="AR35" s="3">
        <f t="shared" ref="AR35:AR41" si="16">+(K35*13.29+L35*22.52)*12*0.85</f>
        <v>1162139.7437999998</v>
      </c>
      <c r="AS35" s="3">
        <f t="shared" ref="AS35:AS40" si="17">+(K35*13.29+L35*22.52)*12*30</f>
        <v>41016696.839999996</v>
      </c>
      <c r="AT35" s="6">
        <f t="shared" si="15"/>
        <v>-34517188.239999995</v>
      </c>
      <c r="AW35" s="62">
        <f t="shared" si="11"/>
        <v>11881010.632439215</v>
      </c>
      <c r="AX35" s="55"/>
      <c r="AY35" s="55">
        <v>4815586.08</v>
      </c>
      <c r="AZ35" s="55"/>
      <c r="BA35" s="55">
        <v>2345570.7400000002</v>
      </c>
      <c r="BB35" s="55">
        <v>0</v>
      </c>
      <c r="BC35" s="55"/>
      <c r="BD35" s="55"/>
      <c r="BE35" s="55">
        <v>0</v>
      </c>
      <c r="BF35" s="55">
        <v>0</v>
      </c>
      <c r="BG35" s="55">
        <v>4165102.07</v>
      </c>
      <c r="BH35" s="55">
        <v>0</v>
      </c>
      <c r="BI35" s="55">
        <v>0</v>
      </c>
      <c r="BJ35" s="55"/>
      <c r="BK35" s="63"/>
      <c r="BL35" s="64">
        <v>554751.74243921496</v>
      </c>
      <c r="BM35" s="8">
        <f t="shared" si="12"/>
        <v>11881010.632439215</v>
      </c>
      <c r="BN35" s="55"/>
      <c r="BO35" s="55">
        <v>4815586.08</v>
      </c>
      <c r="BP35" s="55"/>
      <c r="BQ35" s="55">
        <v>2345570.7400000002</v>
      </c>
      <c r="BR35" s="55">
        <v>0</v>
      </c>
      <c r="BS35" s="55"/>
      <c r="BT35" s="55"/>
      <c r="BU35" s="55">
        <v>0</v>
      </c>
      <c r="BV35" s="55">
        <v>0</v>
      </c>
      <c r="BW35" s="55">
        <v>4165102.07</v>
      </c>
      <c r="BX35" s="55">
        <v>0</v>
      </c>
      <c r="BY35" s="55">
        <v>0</v>
      </c>
      <c r="BZ35" s="55"/>
      <c r="CA35" s="63"/>
      <c r="CB35" s="64">
        <v>554751.74243921496</v>
      </c>
    </row>
    <row r="36" spans="1:80" x14ac:dyDescent="0.25">
      <c r="A36" s="52">
        <f t="shared" si="13"/>
        <v>19</v>
      </c>
      <c r="B36" s="53">
        <f t="shared" si="14"/>
        <v>19</v>
      </c>
      <c r="C36" s="53" t="s">
        <v>75</v>
      </c>
      <c r="D36" s="53" t="s">
        <v>86</v>
      </c>
      <c r="E36" s="54">
        <v>1990</v>
      </c>
      <c r="F36" s="54">
        <v>2017</v>
      </c>
      <c r="G36" s="54" t="s">
        <v>64</v>
      </c>
      <c r="H36" s="54">
        <v>9</v>
      </c>
      <c r="I36" s="54">
        <v>2</v>
      </c>
      <c r="J36" s="55">
        <v>9044.7000000000007</v>
      </c>
      <c r="K36" s="55">
        <v>7731.7</v>
      </c>
      <c r="L36" s="55">
        <v>0</v>
      </c>
      <c r="M36" s="56">
        <v>294</v>
      </c>
      <c r="N36" s="62">
        <v>13275635.7543422</v>
      </c>
      <c r="O36" s="55"/>
      <c r="P36" s="63">
        <v>0</v>
      </c>
      <c r="Q36" s="63"/>
      <c r="R36" s="63">
        <v>9626752.0343421996</v>
      </c>
      <c r="S36" s="63">
        <v>3648883.72</v>
      </c>
      <c r="T36" s="55">
        <v>0</v>
      </c>
      <c r="U36" s="63">
        <v>1717.03968782314</v>
      </c>
      <c r="V36" s="63">
        <v>1717.03968782314</v>
      </c>
      <c r="W36" s="59">
        <v>2022</v>
      </c>
      <c r="X36" s="6" t="e">
        <v>#REF!</v>
      </c>
      <c r="Z36" s="62">
        <f t="shared" si="7"/>
        <v>55666319.910854913</v>
      </c>
      <c r="AA36" s="55">
        <v>18613451.927455001</v>
      </c>
      <c r="AB36" s="55">
        <v>7447156.0149639295</v>
      </c>
      <c r="AC36" s="55">
        <v>5500453.7563591599</v>
      </c>
      <c r="AD36" s="55">
        <v>3515042.1138698198</v>
      </c>
      <c r="AE36" s="55">
        <v>0</v>
      </c>
      <c r="AF36" s="55"/>
      <c r="AG36" s="55">
        <v>826969.68964449002</v>
      </c>
      <c r="AH36" s="55">
        <v>0</v>
      </c>
      <c r="AI36" s="55">
        <v>0</v>
      </c>
      <c r="AJ36" s="55">
        <v>12942145.7927243</v>
      </c>
      <c r="AK36" s="55">
        <v>0</v>
      </c>
      <c r="AL36" s="55">
        <v>0</v>
      </c>
      <c r="AM36" s="55">
        <v>5196291.3990376899</v>
      </c>
      <c r="AN36" s="63">
        <v>556663.19910854904</v>
      </c>
      <c r="AO36" s="64">
        <v>1068146.0176919701</v>
      </c>
      <c r="AP36" s="61">
        <f>+N36-'Приложение №2'!E36</f>
        <v>0</v>
      </c>
      <c r="AQ36" s="1">
        <v>4614966.51</v>
      </c>
      <c r="AR36" s="3">
        <f t="shared" si="16"/>
        <v>1048093.7885999999</v>
      </c>
      <c r="AS36" s="3">
        <f t="shared" si="17"/>
        <v>36991545.479999997</v>
      </c>
      <c r="AT36" s="6">
        <f t="shared" si="15"/>
        <v>-33342661.759999998</v>
      </c>
      <c r="AW36" s="62">
        <f t="shared" si="11"/>
        <v>13275635.754342193</v>
      </c>
      <c r="AX36" s="55">
        <v>5601164.7400000002</v>
      </c>
      <c r="AY36" s="55">
        <v>4132221.15</v>
      </c>
      <c r="AZ36" s="55"/>
      <c r="BA36" s="55">
        <v>2594387.63</v>
      </c>
      <c r="BB36" s="55">
        <v>0</v>
      </c>
      <c r="BC36" s="55"/>
      <c r="BD36" s="55"/>
      <c r="BE36" s="55">
        <v>0</v>
      </c>
      <c r="BF36" s="55">
        <v>0</v>
      </c>
      <c r="BG36" s="55"/>
      <c r="BH36" s="55">
        <v>0</v>
      </c>
      <c r="BI36" s="55">
        <v>0</v>
      </c>
      <c r="BJ36" s="55"/>
      <c r="BK36" s="63"/>
      <c r="BL36" s="64">
        <v>947862.23434219405</v>
      </c>
      <c r="BM36" s="8">
        <f t="shared" si="12"/>
        <v>13275635.754342193</v>
      </c>
      <c r="BN36" s="55">
        <v>5601164.7400000002</v>
      </c>
      <c r="BO36" s="55">
        <v>4132221.15</v>
      </c>
      <c r="BP36" s="55"/>
      <c r="BQ36" s="55">
        <v>2594387.63</v>
      </c>
      <c r="BR36" s="55">
        <v>0</v>
      </c>
      <c r="BS36" s="55"/>
      <c r="BT36" s="55"/>
      <c r="BU36" s="55">
        <v>0</v>
      </c>
      <c r="BV36" s="55">
        <v>0</v>
      </c>
      <c r="BW36" s="55"/>
      <c r="BX36" s="55">
        <v>0</v>
      </c>
      <c r="BY36" s="55">
        <v>0</v>
      </c>
      <c r="BZ36" s="55"/>
      <c r="CA36" s="63"/>
      <c r="CB36" s="64">
        <v>947862.23434219405</v>
      </c>
    </row>
    <row r="37" spans="1:80" x14ac:dyDescent="0.25">
      <c r="A37" s="52">
        <f t="shared" si="13"/>
        <v>20</v>
      </c>
      <c r="B37" s="53">
        <f t="shared" si="14"/>
        <v>20</v>
      </c>
      <c r="C37" s="53" t="s">
        <v>75</v>
      </c>
      <c r="D37" s="53" t="s">
        <v>87</v>
      </c>
      <c r="E37" s="54">
        <v>1990</v>
      </c>
      <c r="F37" s="54">
        <v>2017</v>
      </c>
      <c r="G37" s="54" t="s">
        <v>64</v>
      </c>
      <c r="H37" s="54">
        <v>9</v>
      </c>
      <c r="I37" s="54">
        <v>1</v>
      </c>
      <c r="J37" s="55">
        <v>4527.8</v>
      </c>
      <c r="K37" s="55">
        <v>3876.4</v>
      </c>
      <c r="L37" s="55">
        <v>0</v>
      </c>
      <c r="M37" s="56">
        <v>153</v>
      </c>
      <c r="N37" s="62">
        <v>5240799.8242184604</v>
      </c>
      <c r="O37" s="55"/>
      <c r="P37" s="63">
        <v>54608.39</v>
      </c>
      <c r="Q37" s="63"/>
      <c r="R37" s="63">
        <v>1459981.2542184601</v>
      </c>
      <c r="S37" s="63">
        <v>3726210.18</v>
      </c>
      <c r="T37" s="55">
        <v>0</v>
      </c>
      <c r="U37" s="63">
        <v>1351.9760149154999</v>
      </c>
      <c r="V37" s="63">
        <v>1351.9760149154999</v>
      </c>
      <c r="W37" s="59">
        <v>2022</v>
      </c>
      <c r="X37" s="6" t="e">
        <v>#REF!</v>
      </c>
      <c r="Z37" s="62">
        <f t="shared" si="7"/>
        <v>27786937.969636559</v>
      </c>
      <c r="AA37" s="55">
        <v>9291270.4654677305</v>
      </c>
      <c r="AB37" s="55">
        <v>3717394.3341215299</v>
      </c>
      <c r="AC37" s="55">
        <v>2745659.6300522201</v>
      </c>
      <c r="AD37" s="55">
        <v>1754602.3759999799</v>
      </c>
      <c r="AE37" s="55">
        <v>0</v>
      </c>
      <c r="AF37" s="55"/>
      <c r="AG37" s="55">
        <v>412798.17860638199</v>
      </c>
      <c r="AH37" s="55">
        <v>0</v>
      </c>
      <c r="AI37" s="55">
        <v>0</v>
      </c>
      <c r="AJ37" s="55">
        <v>6460326.5118356803</v>
      </c>
      <c r="AK37" s="55">
        <v>0</v>
      </c>
      <c r="AL37" s="55">
        <v>0</v>
      </c>
      <c r="AM37" s="55">
        <v>2593831.0096382098</v>
      </c>
      <c r="AN37" s="63">
        <v>277869.37969636603</v>
      </c>
      <c r="AO37" s="64">
        <v>533186.084218462</v>
      </c>
      <c r="AP37" s="61">
        <f>+N37-'Приложение №2'!E37</f>
        <v>0</v>
      </c>
      <c r="AQ37" s="1">
        <v>2413836.61</v>
      </c>
      <c r="AR37" s="3">
        <f t="shared" si="16"/>
        <v>525477.03119999997</v>
      </c>
      <c r="AS37" s="3">
        <f t="shared" si="17"/>
        <v>18546248.16</v>
      </c>
      <c r="AT37" s="6">
        <f t="shared" si="15"/>
        <v>-14820037.98</v>
      </c>
      <c r="AW37" s="62">
        <f t="shared" si="11"/>
        <v>5240799.8242184622</v>
      </c>
      <c r="AX37" s="55"/>
      <c r="AY37" s="55">
        <v>1792691.85</v>
      </c>
      <c r="AZ37" s="55"/>
      <c r="BA37" s="55">
        <v>1124322.94</v>
      </c>
      <c r="BB37" s="55">
        <v>0</v>
      </c>
      <c r="BC37" s="55"/>
      <c r="BD37" s="55"/>
      <c r="BE37" s="55">
        <v>0</v>
      </c>
      <c r="BF37" s="55">
        <v>0</v>
      </c>
      <c r="BG37" s="55">
        <v>1790598.95</v>
      </c>
      <c r="BH37" s="55">
        <v>0</v>
      </c>
      <c r="BI37" s="55">
        <v>0</v>
      </c>
      <c r="BJ37" s="55"/>
      <c r="BK37" s="63"/>
      <c r="BL37" s="64">
        <v>533186.084218462</v>
      </c>
      <c r="BM37" s="8">
        <f t="shared" si="12"/>
        <v>5240799.8242184622</v>
      </c>
      <c r="BN37" s="55"/>
      <c r="BO37" s="55">
        <v>1792691.85</v>
      </c>
      <c r="BP37" s="55"/>
      <c r="BQ37" s="55">
        <v>1124322.94</v>
      </c>
      <c r="BR37" s="55">
        <v>0</v>
      </c>
      <c r="BS37" s="55"/>
      <c r="BT37" s="55"/>
      <c r="BU37" s="55">
        <v>0</v>
      </c>
      <c r="BV37" s="55">
        <v>0</v>
      </c>
      <c r="BW37" s="55">
        <v>1790598.95</v>
      </c>
      <c r="BX37" s="55">
        <v>0</v>
      </c>
      <c r="BY37" s="55">
        <v>0</v>
      </c>
      <c r="BZ37" s="55"/>
      <c r="CA37" s="63"/>
      <c r="CB37" s="64">
        <v>533186.084218462</v>
      </c>
    </row>
    <row r="38" spans="1:80" x14ac:dyDescent="0.25">
      <c r="A38" s="52">
        <f t="shared" si="13"/>
        <v>21</v>
      </c>
      <c r="B38" s="53">
        <f t="shared" si="14"/>
        <v>21</v>
      </c>
      <c r="C38" s="53" t="s">
        <v>75</v>
      </c>
      <c r="D38" s="53" t="s">
        <v>88</v>
      </c>
      <c r="E38" s="54">
        <v>1990</v>
      </c>
      <c r="F38" s="54">
        <v>2017</v>
      </c>
      <c r="G38" s="54" t="s">
        <v>64</v>
      </c>
      <c r="H38" s="54">
        <v>10</v>
      </c>
      <c r="I38" s="54">
        <v>1</v>
      </c>
      <c r="J38" s="55">
        <v>3578</v>
      </c>
      <c r="K38" s="55">
        <v>3065.8</v>
      </c>
      <c r="L38" s="55">
        <v>0</v>
      </c>
      <c r="M38" s="56">
        <v>111</v>
      </c>
      <c r="N38" s="62">
        <v>1578467.25</v>
      </c>
      <c r="O38" s="55"/>
      <c r="P38" s="63"/>
      <c r="Q38" s="63"/>
      <c r="R38" s="63">
        <v>73156.360000000102</v>
      </c>
      <c r="S38" s="63">
        <v>1505310.89</v>
      </c>
      <c r="T38" s="55">
        <v>0</v>
      </c>
      <c r="U38" s="63">
        <v>514.863086307</v>
      </c>
      <c r="V38" s="63">
        <v>514.863086307</v>
      </c>
      <c r="W38" s="59">
        <v>2022</v>
      </c>
      <c r="X38" s="6" t="e">
        <v>#REF!</v>
      </c>
      <c r="Z38" s="62">
        <f t="shared" si="7"/>
        <v>16117442.631482765</v>
      </c>
      <c r="AA38" s="55">
        <v>7351785.1489623599</v>
      </c>
      <c r="AB38" s="55">
        <v>2941415.2305656401</v>
      </c>
      <c r="AC38" s="55">
        <v>2172523.09760495</v>
      </c>
      <c r="AD38" s="55">
        <v>1388341.8568163801</v>
      </c>
      <c r="AE38" s="55">
        <v>0</v>
      </c>
      <c r="AF38" s="55"/>
      <c r="AG38" s="55">
        <v>326629.55300637998</v>
      </c>
      <c r="AH38" s="55">
        <v>0</v>
      </c>
      <c r="AI38" s="55">
        <v>0</v>
      </c>
      <c r="AJ38" s="55">
        <v>0</v>
      </c>
      <c r="AK38" s="55">
        <v>0</v>
      </c>
      <c r="AL38" s="55">
        <v>0</v>
      </c>
      <c r="AM38" s="55">
        <v>1465470.24179607</v>
      </c>
      <c r="AN38" s="63">
        <v>161174.42631482799</v>
      </c>
      <c r="AO38" s="64">
        <v>310103.076416158</v>
      </c>
      <c r="AP38" s="61">
        <f>+N38-'Приложение №2'!E38</f>
        <v>0</v>
      </c>
      <c r="AQ38" s="1">
        <v>2001885.98</v>
      </c>
      <c r="AR38" s="3">
        <f t="shared" si="16"/>
        <v>415593.71639999998</v>
      </c>
      <c r="AS38" s="3">
        <f t="shared" si="17"/>
        <v>14668013.52</v>
      </c>
      <c r="AT38" s="6">
        <f t="shared" si="15"/>
        <v>-13162702.629999999</v>
      </c>
      <c r="AW38" s="62">
        <f t="shared" si="11"/>
        <v>1569633.6837197065</v>
      </c>
      <c r="AX38" s="55"/>
      <c r="AY38" s="55">
        <v>991956.22</v>
      </c>
      <c r="AZ38" s="55"/>
      <c r="BA38" s="55">
        <v>513354.67</v>
      </c>
      <c r="BB38" s="55">
        <v>0</v>
      </c>
      <c r="BC38" s="55"/>
      <c r="BD38" s="55"/>
      <c r="BE38" s="55">
        <v>0</v>
      </c>
      <c r="BF38" s="55">
        <v>0</v>
      </c>
      <c r="BG38" s="55">
        <v>0</v>
      </c>
      <c r="BH38" s="55">
        <v>0</v>
      </c>
      <c r="BI38" s="55">
        <v>0</v>
      </c>
      <c r="BJ38" s="55"/>
      <c r="BK38" s="63"/>
      <c r="BL38" s="64">
        <v>64322.793719706497</v>
      </c>
      <c r="BM38" s="8">
        <f t="shared" si="12"/>
        <v>1578467.25</v>
      </c>
      <c r="BN38" s="55"/>
      <c r="BO38" s="55">
        <v>991956.22</v>
      </c>
      <c r="BP38" s="55"/>
      <c r="BQ38" s="55">
        <v>513354.67</v>
      </c>
      <c r="BR38" s="55">
        <v>0</v>
      </c>
      <c r="BS38" s="55"/>
      <c r="BT38" s="55"/>
      <c r="BU38" s="55">
        <v>0</v>
      </c>
      <c r="BV38" s="55">
        <v>0</v>
      </c>
      <c r="BW38" s="55">
        <v>0</v>
      </c>
      <c r="BX38" s="55">
        <v>0</v>
      </c>
      <c r="BY38" s="55">
        <v>0</v>
      </c>
      <c r="BZ38" s="55"/>
      <c r="CA38" s="63"/>
      <c r="CB38" s="64">
        <v>73156.36</v>
      </c>
    </row>
    <row r="39" spans="1:80" x14ac:dyDescent="0.25">
      <c r="A39" s="52">
        <f t="shared" si="13"/>
        <v>22</v>
      </c>
      <c r="B39" s="53">
        <f t="shared" si="14"/>
        <v>22</v>
      </c>
      <c r="C39" s="53" t="s">
        <v>75</v>
      </c>
      <c r="D39" s="53" t="s">
        <v>89</v>
      </c>
      <c r="E39" s="54">
        <v>1990</v>
      </c>
      <c r="F39" s="54">
        <v>2017</v>
      </c>
      <c r="G39" s="54" t="s">
        <v>64</v>
      </c>
      <c r="H39" s="54">
        <v>10</v>
      </c>
      <c r="I39" s="54">
        <v>1</v>
      </c>
      <c r="J39" s="55">
        <v>3562.9</v>
      </c>
      <c r="K39" s="55">
        <v>3045.6</v>
      </c>
      <c r="L39" s="55">
        <v>0</v>
      </c>
      <c r="M39" s="56">
        <v>121</v>
      </c>
      <c r="N39" s="62">
        <v>6565896.2326293997</v>
      </c>
      <c r="O39" s="55"/>
      <c r="P39" s="63"/>
      <c r="Q39" s="63"/>
      <c r="R39" s="63">
        <v>2146649.1226293999</v>
      </c>
      <c r="S39" s="63">
        <v>4419247.1100000003</v>
      </c>
      <c r="T39" s="55">
        <v>0</v>
      </c>
      <c r="U39" s="63">
        <v>2155.86296054288</v>
      </c>
      <c r="V39" s="63">
        <v>2155.86296054288</v>
      </c>
      <c r="W39" s="59">
        <v>2022</v>
      </c>
      <c r="X39" s="6" t="e">
        <v>#REF!</v>
      </c>
      <c r="Z39" s="62">
        <f t="shared" si="7"/>
        <v>21832542.931861959</v>
      </c>
      <c r="AA39" s="55">
        <v>7300266.82142979</v>
      </c>
      <c r="AB39" s="55">
        <v>2920802.9860308599</v>
      </c>
      <c r="AC39" s="55">
        <v>2157298.9371804199</v>
      </c>
      <c r="AD39" s="55">
        <v>1378612.9203666099</v>
      </c>
      <c r="AE39" s="55">
        <v>0</v>
      </c>
      <c r="AF39" s="55"/>
      <c r="AG39" s="55">
        <v>324340.66562016797</v>
      </c>
      <c r="AH39" s="55">
        <v>0</v>
      </c>
      <c r="AI39" s="55">
        <v>0</v>
      </c>
      <c r="AJ39" s="55">
        <v>5075958.9299699701</v>
      </c>
      <c r="AK39" s="55">
        <v>0</v>
      </c>
      <c r="AL39" s="55">
        <v>0</v>
      </c>
      <c r="AM39" s="55">
        <v>2038005.3008288301</v>
      </c>
      <c r="AN39" s="63">
        <v>218325.42931862001</v>
      </c>
      <c r="AO39" s="64">
        <v>418930.94111669098</v>
      </c>
      <c r="AP39" s="61">
        <f>+N39-'Приложение №2'!E39</f>
        <v>0</v>
      </c>
      <c r="AQ39" s="1">
        <v>1845490.3</v>
      </c>
      <c r="AR39" s="3">
        <f t="shared" si="16"/>
        <v>412855.44479999994</v>
      </c>
      <c r="AS39" s="3">
        <f t="shared" si="17"/>
        <v>14571368.639999999</v>
      </c>
      <c r="AT39" s="6">
        <f t="shared" si="15"/>
        <v>-10152121.529999997</v>
      </c>
      <c r="AW39" s="62">
        <f t="shared" si="11"/>
        <v>6565896.2326294025</v>
      </c>
      <c r="AX39" s="55">
        <v>2562057.4900000002</v>
      </c>
      <c r="AY39" s="55">
        <v>1395411.2</v>
      </c>
      <c r="AZ39" s="55"/>
      <c r="BA39" s="55">
        <v>767119.01</v>
      </c>
      <c r="BB39" s="55">
        <v>0</v>
      </c>
      <c r="BC39" s="55"/>
      <c r="BD39" s="55"/>
      <c r="BE39" s="55">
        <v>0</v>
      </c>
      <c r="BF39" s="55">
        <v>0</v>
      </c>
      <c r="BG39" s="55">
        <v>1469553.35</v>
      </c>
      <c r="BH39" s="55">
        <v>0</v>
      </c>
      <c r="BI39" s="55">
        <v>0</v>
      </c>
      <c r="BJ39" s="55"/>
      <c r="BK39" s="63"/>
      <c r="BL39" s="64">
        <v>371755.18262940203</v>
      </c>
      <c r="BM39" s="8">
        <f t="shared" si="12"/>
        <v>6565896.2326294025</v>
      </c>
      <c r="BN39" s="55">
        <v>2562057.4900000002</v>
      </c>
      <c r="BO39" s="55">
        <v>1395411.2</v>
      </c>
      <c r="BP39" s="55"/>
      <c r="BQ39" s="55">
        <v>767119.01</v>
      </c>
      <c r="BR39" s="55">
        <v>0</v>
      </c>
      <c r="BS39" s="55"/>
      <c r="BT39" s="55"/>
      <c r="BU39" s="55">
        <v>0</v>
      </c>
      <c r="BV39" s="55">
        <v>0</v>
      </c>
      <c r="BW39" s="55">
        <v>1469553.35</v>
      </c>
      <c r="BX39" s="55">
        <v>0</v>
      </c>
      <c r="BY39" s="55">
        <v>0</v>
      </c>
      <c r="BZ39" s="55"/>
      <c r="CA39" s="63"/>
      <c r="CB39" s="64">
        <v>371755.18262940203</v>
      </c>
    </row>
    <row r="40" spans="1:80" x14ac:dyDescent="0.25">
      <c r="A40" s="52">
        <f t="shared" si="13"/>
        <v>23</v>
      </c>
      <c r="B40" s="53">
        <f t="shared" si="14"/>
        <v>23</v>
      </c>
      <c r="C40" s="53" t="s">
        <v>75</v>
      </c>
      <c r="D40" s="53" t="s">
        <v>90</v>
      </c>
      <c r="E40" s="54">
        <v>1990</v>
      </c>
      <c r="F40" s="54">
        <v>2017</v>
      </c>
      <c r="G40" s="54" t="s">
        <v>64</v>
      </c>
      <c r="H40" s="54">
        <v>9</v>
      </c>
      <c r="I40" s="54">
        <v>1</v>
      </c>
      <c r="J40" s="55">
        <v>3197.5</v>
      </c>
      <c r="K40" s="55">
        <v>2621.1</v>
      </c>
      <c r="L40" s="55">
        <v>132.4</v>
      </c>
      <c r="M40" s="56">
        <v>94</v>
      </c>
      <c r="N40" s="62">
        <v>2473466.5978491502</v>
      </c>
      <c r="O40" s="55"/>
      <c r="P40" s="63"/>
      <c r="Q40" s="63"/>
      <c r="R40" s="63">
        <v>1017398.54</v>
      </c>
      <c r="S40" s="63">
        <v>1456068.0578491499</v>
      </c>
      <c r="T40" s="55">
        <v>0</v>
      </c>
      <c r="U40" s="63">
        <v>898.29910944221797</v>
      </c>
      <c r="V40" s="63">
        <v>898.29910944221797</v>
      </c>
      <c r="W40" s="59">
        <v>2022</v>
      </c>
      <c r="X40" s="6" t="e">
        <v>#REF!</v>
      </c>
      <c r="Z40" s="62">
        <f t="shared" si="7"/>
        <v>19626786.772724852</v>
      </c>
      <c r="AA40" s="55">
        <v>6562716.0672657704</v>
      </c>
      <c r="AB40" s="55">
        <v>2625712.3410166502</v>
      </c>
      <c r="AC40" s="55">
        <v>1939345.6079399099</v>
      </c>
      <c r="AD40" s="55">
        <v>1239330.75109961</v>
      </c>
      <c r="AE40" s="55">
        <v>0</v>
      </c>
      <c r="AF40" s="55"/>
      <c r="AG40" s="55">
        <v>291572.31503988599</v>
      </c>
      <c r="AH40" s="55">
        <v>0</v>
      </c>
      <c r="AI40" s="55">
        <v>0</v>
      </c>
      <c r="AJ40" s="55">
        <v>4563131.4637306398</v>
      </c>
      <c r="AK40" s="55">
        <v>0</v>
      </c>
      <c r="AL40" s="55">
        <v>0</v>
      </c>
      <c r="AM40" s="55">
        <v>1832104.2860598699</v>
      </c>
      <c r="AN40" s="63">
        <v>196267.867727248</v>
      </c>
      <c r="AO40" s="64">
        <v>376606.07284526702</v>
      </c>
      <c r="AP40" s="61">
        <f>+N40-'Приложение №2'!E40</f>
        <v>0</v>
      </c>
      <c r="AQ40" s="1">
        <v>1678059.52</v>
      </c>
      <c r="AR40" s="3">
        <f t="shared" si="16"/>
        <v>385723.88339999993</v>
      </c>
      <c r="AS40" s="3">
        <f t="shared" si="17"/>
        <v>13613784.119999999</v>
      </c>
      <c r="AT40" s="6">
        <f t="shared" si="15"/>
        <v>-12157716.062150849</v>
      </c>
      <c r="AW40" s="62">
        <f t="shared" si="11"/>
        <v>2473466.5978491479</v>
      </c>
      <c r="AX40" s="55">
        <v>2223790.75</v>
      </c>
      <c r="AY40" s="55"/>
      <c r="AZ40" s="55"/>
      <c r="BA40" s="55"/>
      <c r="BB40" s="55">
        <v>0</v>
      </c>
      <c r="BC40" s="55"/>
      <c r="BD40" s="55"/>
      <c r="BE40" s="55">
        <v>0</v>
      </c>
      <c r="BF40" s="55">
        <v>0</v>
      </c>
      <c r="BG40" s="55"/>
      <c r="BH40" s="55">
        <v>0</v>
      </c>
      <c r="BI40" s="55">
        <v>0</v>
      </c>
      <c r="BJ40" s="55"/>
      <c r="BK40" s="63"/>
      <c r="BL40" s="64">
        <v>249675.84784914801</v>
      </c>
      <c r="BM40" s="8">
        <f t="shared" si="12"/>
        <v>2473466.5978491479</v>
      </c>
      <c r="BN40" s="55">
        <v>2223790.75</v>
      </c>
      <c r="BO40" s="55"/>
      <c r="BP40" s="55"/>
      <c r="BQ40" s="55"/>
      <c r="BR40" s="55">
        <v>0</v>
      </c>
      <c r="BS40" s="55"/>
      <c r="BT40" s="55"/>
      <c r="BU40" s="55">
        <v>0</v>
      </c>
      <c r="BV40" s="55">
        <v>0</v>
      </c>
      <c r="BW40" s="55"/>
      <c r="BX40" s="55">
        <v>0</v>
      </c>
      <c r="BY40" s="55">
        <v>0</v>
      </c>
      <c r="BZ40" s="55"/>
      <c r="CA40" s="63"/>
      <c r="CB40" s="64">
        <v>249675.84784914801</v>
      </c>
    </row>
    <row r="41" spans="1:80" x14ac:dyDescent="0.25">
      <c r="A41" s="52">
        <f t="shared" si="13"/>
        <v>24</v>
      </c>
      <c r="B41" s="53">
        <f t="shared" si="14"/>
        <v>24</v>
      </c>
      <c r="C41" s="53" t="s">
        <v>78</v>
      </c>
      <c r="D41" s="53" t="s">
        <v>91</v>
      </c>
      <c r="E41" s="54">
        <v>1994</v>
      </c>
      <c r="F41" s="54">
        <v>2017</v>
      </c>
      <c r="G41" s="54" t="s">
        <v>64</v>
      </c>
      <c r="H41" s="54">
        <v>10</v>
      </c>
      <c r="I41" s="54">
        <v>1</v>
      </c>
      <c r="J41" s="55">
        <v>3224</v>
      </c>
      <c r="K41" s="55">
        <v>2850</v>
      </c>
      <c r="L41" s="55">
        <v>0</v>
      </c>
      <c r="M41" s="56">
        <v>96</v>
      </c>
      <c r="N41" s="62">
        <v>3289538.05</v>
      </c>
      <c r="O41" s="55"/>
      <c r="P41" s="66">
        <v>2383274.1340000001</v>
      </c>
      <c r="Q41" s="66"/>
      <c r="R41" s="66">
        <v>906263.91599999997</v>
      </c>
      <c r="S41" s="63"/>
      <c r="T41" s="55"/>
      <c r="U41" s="63">
        <v>1943.39953893812</v>
      </c>
      <c r="V41" s="63">
        <v>1943.39953893812</v>
      </c>
      <c r="W41" s="59">
        <v>2022</v>
      </c>
      <c r="X41" s="6" t="e">
        <f>+#REF!-#REF!</f>
        <v>#REF!</v>
      </c>
      <c r="Z41" s="62">
        <f t="shared" si="7"/>
        <v>3305541.4805859271</v>
      </c>
      <c r="AA41" s="55">
        <v>0</v>
      </c>
      <c r="AB41" s="55">
        <v>0</v>
      </c>
      <c r="AC41" s="55">
        <v>0</v>
      </c>
      <c r="AD41" s="55">
        <v>0</v>
      </c>
      <c r="AE41" s="55">
        <v>0</v>
      </c>
      <c r="AF41" s="55"/>
      <c r="AG41" s="55">
        <v>0</v>
      </c>
      <c r="AH41" s="55">
        <v>0</v>
      </c>
      <c r="AI41" s="55">
        <v>2911322.6036112499</v>
      </c>
      <c r="AJ41" s="55">
        <v>0</v>
      </c>
      <c r="AK41" s="55">
        <v>0</v>
      </c>
      <c r="AL41" s="55">
        <v>0</v>
      </c>
      <c r="AM41" s="55">
        <v>297498.73325273301</v>
      </c>
      <c r="AN41" s="63">
        <v>33055.414805859298</v>
      </c>
      <c r="AO41" s="64">
        <v>63664.728916084903</v>
      </c>
      <c r="AP41" s="61">
        <f>+N41-'Приложение №2'!E41</f>
        <v>0</v>
      </c>
      <c r="AR41" s="3">
        <f t="shared" si="16"/>
        <v>386340.3</v>
      </c>
      <c r="AT41" s="6"/>
      <c r="AW41" s="62">
        <f t="shared" si="11"/>
        <v>3289538.05</v>
      </c>
      <c r="AX41" s="55">
        <v>0</v>
      </c>
      <c r="AY41" s="55">
        <v>0</v>
      </c>
      <c r="AZ41" s="55">
        <v>0</v>
      </c>
      <c r="BA41" s="55">
        <v>0</v>
      </c>
      <c r="BB41" s="55">
        <v>0</v>
      </c>
      <c r="BC41" s="55"/>
      <c r="BD41" s="55"/>
      <c r="BE41" s="55">
        <v>0</v>
      </c>
      <c r="BF41" s="67">
        <v>2913300.81</v>
      </c>
      <c r="BG41" s="67">
        <v>0</v>
      </c>
      <c r="BH41" s="67">
        <v>0</v>
      </c>
      <c r="BI41" s="67">
        <v>0</v>
      </c>
      <c r="BJ41" s="67">
        <v>297498.73</v>
      </c>
      <c r="BK41" s="66">
        <v>8000</v>
      </c>
      <c r="BL41" s="68">
        <v>70738.509999999995</v>
      </c>
      <c r="BM41" s="8">
        <f t="shared" si="12"/>
        <v>3289538.05</v>
      </c>
      <c r="BN41" s="55">
        <v>0</v>
      </c>
      <c r="BO41" s="55">
        <v>0</v>
      </c>
      <c r="BP41" s="55">
        <v>0</v>
      </c>
      <c r="BQ41" s="55">
        <v>0</v>
      </c>
      <c r="BR41" s="55">
        <v>0</v>
      </c>
      <c r="BS41" s="55"/>
      <c r="BT41" s="55"/>
      <c r="BU41" s="55">
        <v>0</v>
      </c>
      <c r="BV41" s="67">
        <v>2913300.81</v>
      </c>
      <c r="BW41" s="67">
        <v>0</v>
      </c>
      <c r="BX41" s="67">
        <v>0</v>
      </c>
      <c r="BY41" s="67">
        <v>0</v>
      </c>
      <c r="BZ41" s="67">
        <v>297498.73</v>
      </c>
      <c r="CA41" s="66">
        <v>8000</v>
      </c>
      <c r="CB41" s="68">
        <v>70738.509999999995</v>
      </c>
    </row>
    <row r="42" spans="1:80" x14ac:dyDescent="0.25">
      <c r="A42" s="52">
        <f t="shared" si="13"/>
        <v>25</v>
      </c>
      <c r="B42" s="53">
        <f t="shared" si="14"/>
        <v>25</v>
      </c>
      <c r="C42" s="53" t="s">
        <v>75</v>
      </c>
      <c r="D42" s="53" t="s">
        <v>92</v>
      </c>
      <c r="E42" s="54">
        <v>1991</v>
      </c>
      <c r="F42" s="54">
        <v>1991</v>
      </c>
      <c r="G42" s="54" t="s">
        <v>64</v>
      </c>
      <c r="H42" s="54">
        <v>5</v>
      </c>
      <c r="I42" s="54">
        <v>8</v>
      </c>
      <c r="J42" s="55">
        <v>7532.7</v>
      </c>
      <c r="K42" s="55">
        <v>6513.5</v>
      </c>
      <c r="L42" s="55">
        <v>98.2</v>
      </c>
      <c r="M42" s="56">
        <v>288</v>
      </c>
      <c r="N42" s="62">
        <v>3078216.57893473</v>
      </c>
      <c r="O42" s="58"/>
      <c r="P42" s="63">
        <v>0</v>
      </c>
      <c r="Q42" s="63"/>
      <c r="R42" s="63">
        <v>809686.14</v>
      </c>
      <c r="S42" s="63">
        <v>2268530.4389347299</v>
      </c>
      <c r="T42" s="55">
        <v>0</v>
      </c>
      <c r="U42" s="63">
        <v>465.57112073063399</v>
      </c>
      <c r="V42" s="63">
        <v>465.57112073063399</v>
      </c>
      <c r="W42" s="59">
        <v>2022</v>
      </c>
      <c r="X42" s="6" t="e">
        <v>#REF!</v>
      </c>
      <c r="Z42" s="62">
        <f t="shared" si="7"/>
        <v>28038201.105236765</v>
      </c>
      <c r="AA42" s="55">
        <v>13119220.497721599</v>
      </c>
      <c r="AB42" s="55">
        <v>5615316.9923980404</v>
      </c>
      <c r="AC42" s="55">
        <v>0</v>
      </c>
      <c r="AD42" s="55">
        <v>5294421.91644648</v>
      </c>
      <c r="AE42" s="55">
        <v>0</v>
      </c>
      <c r="AF42" s="55"/>
      <c r="AG42" s="55">
        <v>544692.12481385004</v>
      </c>
      <c r="AH42" s="55">
        <v>0</v>
      </c>
      <c r="AI42" s="55">
        <v>0</v>
      </c>
      <c r="AJ42" s="55">
        <v>0</v>
      </c>
      <c r="AK42" s="55">
        <v>0</v>
      </c>
      <c r="AL42" s="55">
        <v>0</v>
      </c>
      <c r="AM42" s="55">
        <v>2646791.5738696898</v>
      </c>
      <c r="AN42" s="63">
        <v>280382.01105236798</v>
      </c>
      <c r="AO42" s="64">
        <v>537375.98893473495</v>
      </c>
      <c r="AP42" s="61">
        <f>+N42-'Приложение №2'!E42</f>
        <v>-4.6566128730773926E-9</v>
      </c>
      <c r="AQ42" s="1" t="e">
        <v>#REF!</v>
      </c>
      <c r="AR42" s="3">
        <f>+(K42*10+L42*20)*12*0.85</f>
        <v>684409.79999999993</v>
      </c>
      <c r="AS42" s="3" t="e">
        <v>#REF!</v>
      </c>
      <c r="AT42" s="6" t="e">
        <f t="shared" ref="AT42:AT53" si="18">+S42-AS42</f>
        <v>#REF!</v>
      </c>
      <c r="AW42" s="62">
        <f t="shared" si="11"/>
        <v>3078216.5789347347</v>
      </c>
      <c r="AX42" s="55"/>
      <c r="AY42" s="55">
        <v>2540840.59</v>
      </c>
      <c r="AZ42" s="55">
        <v>0</v>
      </c>
      <c r="BB42" s="55">
        <v>0</v>
      </c>
      <c r="BC42" s="55"/>
      <c r="BD42" s="55"/>
      <c r="BE42" s="55">
        <v>0</v>
      </c>
      <c r="BF42" s="55">
        <v>0</v>
      </c>
      <c r="BG42" s="55">
        <v>0</v>
      </c>
      <c r="BH42" s="55">
        <v>0</v>
      </c>
      <c r="BI42" s="55">
        <v>0</v>
      </c>
      <c r="BJ42" s="55"/>
      <c r="BK42" s="63"/>
      <c r="BL42" s="64">
        <v>537375.98893473495</v>
      </c>
      <c r="BM42" s="8">
        <f t="shared" si="12"/>
        <v>3078216.5789347347</v>
      </c>
      <c r="BN42" s="55"/>
      <c r="BO42" s="55">
        <v>2540840.59</v>
      </c>
      <c r="BP42" s="55">
        <v>0</v>
      </c>
      <c r="BR42" s="55">
        <v>0</v>
      </c>
      <c r="BS42" s="55"/>
      <c r="BT42" s="55"/>
      <c r="BU42" s="55">
        <v>0</v>
      </c>
      <c r="BV42" s="55">
        <v>0</v>
      </c>
      <c r="BW42" s="55">
        <v>0</v>
      </c>
      <c r="BX42" s="55">
        <v>0</v>
      </c>
      <c r="BY42" s="55">
        <v>0</v>
      </c>
      <c r="BZ42" s="55"/>
      <c r="CA42" s="63"/>
      <c r="CB42" s="64">
        <v>537375.98893473495</v>
      </c>
    </row>
    <row r="43" spans="1:80" x14ac:dyDescent="0.25">
      <c r="A43" s="52">
        <f t="shared" si="13"/>
        <v>26</v>
      </c>
      <c r="B43" s="53">
        <f t="shared" si="14"/>
        <v>26</v>
      </c>
      <c r="C43" s="53" t="s">
        <v>78</v>
      </c>
      <c r="D43" s="53" t="s">
        <v>93</v>
      </c>
      <c r="E43" s="54">
        <v>1993</v>
      </c>
      <c r="F43" s="54">
        <v>1993</v>
      </c>
      <c r="G43" s="54" t="s">
        <v>64</v>
      </c>
      <c r="H43" s="54">
        <v>9</v>
      </c>
      <c r="I43" s="54">
        <v>1</v>
      </c>
      <c r="J43" s="55">
        <v>2888.5</v>
      </c>
      <c r="K43" s="55">
        <v>2497</v>
      </c>
      <c r="L43" s="55">
        <v>0</v>
      </c>
      <c r="M43" s="56">
        <v>69</v>
      </c>
      <c r="N43" s="62">
        <v>3685808.05</v>
      </c>
      <c r="O43" s="55"/>
      <c r="P43" s="66">
        <v>2911514.27</v>
      </c>
      <c r="Q43" s="66"/>
      <c r="R43" s="66">
        <v>774293.78</v>
      </c>
      <c r="S43" s="63"/>
      <c r="T43" s="55">
        <v>0</v>
      </c>
      <c r="U43" s="63">
        <v>1476.0945334401299</v>
      </c>
      <c r="V43" s="63">
        <v>1476.0945334401299</v>
      </c>
      <c r="W43" s="59">
        <v>2022</v>
      </c>
      <c r="X43" s="6" t="e">
        <f>+#REF!-#REF!</f>
        <v>#REF!</v>
      </c>
      <c r="Z43" s="62">
        <f t="shared" si="7"/>
        <v>11478959.236332804</v>
      </c>
      <c r="AA43" s="55">
        <v>5974688.2730102502</v>
      </c>
      <c r="AB43" s="55">
        <v>0</v>
      </c>
      <c r="AC43" s="55">
        <v>0</v>
      </c>
      <c r="AD43" s="55">
        <v>0</v>
      </c>
      <c r="AE43" s="55">
        <v>0</v>
      </c>
      <c r="AF43" s="55"/>
      <c r="AG43" s="55">
        <v>0</v>
      </c>
      <c r="AH43" s="55">
        <v>0</v>
      </c>
      <c r="AI43" s="55">
        <v>0</v>
      </c>
      <c r="AJ43" s="55">
        <v>4154269.0198868001</v>
      </c>
      <c r="AK43" s="55">
        <v>0</v>
      </c>
      <c r="AL43" s="55">
        <v>0</v>
      </c>
      <c r="AM43" s="55">
        <v>1013712.56968269</v>
      </c>
      <c r="AN43" s="63">
        <v>114789.592363328</v>
      </c>
      <c r="AO43" s="64">
        <v>221499.78138973701</v>
      </c>
      <c r="AP43" s="61">
        <f>+N43-'Приложение №2'!E43</f>
        <v>0</v>
      </c>
      <c r="AR43" s="3">
        <f>+(K43*13.29+L43*22.52)*12*0.85</f>
        <v>338488.32599999994</v>
      </c>
      <c r="AT43" s="6">
        <f t="shared" si="18"/>
        <v>0</v>
      </c>
      <c r="AW43" s="62">
        <f t="shared" si="11"/>
        <v>3685808.05</v>
      </c>
      <c r="AX43" s="67">
        <v>2951330.4</v>
      </c>
      <c r="AY43" s="67">
        <v>0</v>
      </c>
      <c r="AZ43" s="67">
        <v>0</v>
      </c>
      <c r="BA43" s="67">
        <v>0</v>
      </c>
      <c r="BB43" s="67">
        <v>0</v>
      </c>
      <c r="BC43" s="67"/>
      <c r="BD43" s="67"/>
      <c r="BE43" s="67">
        <v>0</v>
      </c>
      <c r="BF43" s="67">
        <v>0</v>
      </c>
      <c r="BG43" s="67"/>
      <c r="BH43" s="67">
        <v>0</v>
      </c>
      <c r="BI43" s="67">
        <v>0</v>
      </c>
      <c r="BJ43" s="67">
        <v>582619.32999999996</v>
      </c>
      <c r="BK43" s="66">
        <v>24000</v>
      </c>
      <c r="BL43" s="68">
        <v>127858.32</v>
      </c>
      <c r="BM43" s="8">
        <f t="shared" si="12"/>
        <v>3685808.05</v>
      </c>
      <c r="BN43" s="67">
        <v>2951330.4</v>
      </c>
      <c r="BO43" s="67">
        <v>0</v>
      </c>
      <c r="BP43" s="67">
        <v>0</v>
      </c>
      <c r="BQ43" s="67">
        <v>0</v>
      </c>
      <c r="BR43" s="67">
        <v>0</v>
      </c>
      <c r="BS43" s="67"/>
      <c r="BT43" s="67"/>
      <c r="BU43" s="67">
        <v>0</v>
      </c>
      <c r="BV43" s="67">
        <v>0</v>
      </c>
      <c r="BW43" s="67"/>
      <c r="BX43" s="67">
        <v>0</v>
      </c>
      <c r="BY43" s="67">
        <v>0</v>
      </c>
      <c r="BZ43" s="67">
        <v>582619.32999999996</v>
      </c>
      <c r="CA43" s="66">
        <v>24000</v>
      </c>
      <c r="CB43" s="68">
        <v>127858.32</v>
      </c>
    </row>
    <row r="44" spans="1:80" x14ac:dyDescent="0.25">
      <c r="A44" s="52">
        <f t="shared" si="13"/>
        <v>27</v>
      </c>
      <c r="B44" s="53">
        <f t="shared" si="14"/>
        <v>27</v>
      </c>
      <c r="C44" s="53" t="s">
        <v>75</v>
      </c>
      <c r="D44" s="53" t="s">
        <v>94</v>
      </c>
      <c r="E44" s="54">
        <v>1990</v>
      </c>
      <c r="F44" s="54">
        <v>1990</v>
      </c>
      <c r="G44" s="54" t="s">
        <v>64</v>
      </c>
      <c r="H44" s="54">
        <v>5</v>
      </c>
      <c r="I44" s="54">
        <v>8</v>
      </c>
      <c r="J44" s="55">
        <v>7467.3</v>
      </c>
      <c r="K44" s="55">
        <v>6603.4</v>
      </c>
      <c r="L44" s="55">
        <v>0</v>
      </c>
      <c r="M44" s="56">
        <v>290</v>
      </c>
      <c r="N44" s="62">
        <v>9041524.1470446195</v>
      </c>
      <c r="O44" s="58"/>
      <c r="P44" s="63"/>
      <c r="Q44" s="63"/>
      <c r="R44" s="63">
        <v>3767863.03</v>
      </c>
      <c r="S44" s="63">
        <v>5273661.1170446202</v>
      </c>
      <c r="T44" s="55">
        <v>0</v>
      </c>
      <c r="U44" s="63">
        <v>1369.2225439992501</v>
      </c>
      <c r="V44" s="63">
        <v>1369.2225439992501</v>
      </c>
      <c r="W44" s="59">
        <v>2022</v>
      </c>
      <c r="X44" s="6" t="e">
        <v>#REF!</v>
      </c>
      <c r="Z44" s="62">
        <f t="shared" si="7"/>
        <v>28006015.637174569</v>
      </c>
      <c r="AA44" s="55">
        <v>13104160.749389499</v>
      </c>
      <c r="AB44" s="55">
        <v>5608871.0865055798</v>
      </c>
      <c r="AC44" s="55">
        <v>0</v>
      </c>
      <c r="AD44" s="55">
        <v>5288344.3707843898</v>
      </c>
      <c r="AE44" s="55">
        <v>0</v>
      </c>
      <c r="AF44" s="55"/>
      <c r="AG44" s="55">
        <v>544066.86462254298</v>
      </c>
      <c r="AH44" s="55">
        <v>0</v>
      </c>
      <c r="AI44" s="55">
        <v>0</v>
      </c>
      <c r="AJ44" s="55">
        <v>0</v>
      </c>
      <c r="AK44" s="55">
        <v>0</v>
      </c>
      <c r="AL44" s="55">
        <v>0</v>
      </c>
      <c r="AM44" s="55">
        <v>2643753.2824561899</v>
      </c>
      <c r="AN44" s="63">
        <v>280060.15637174499</v>
      </c>
      <c r="AO44" s="64">
        <v>536759.12704461697</v>
      </c>
      <c r="AP44" s="61">
        <f>+N44-'Приложение №2'!E44</f>
        <v>0</v>
      </c>
      <c r="AQ44" s="1">
        <v>3256134.06</v>
      </c>
      <c r="AR44" s="3">
        <f t="shared" ref="AR44:AR51" si="19">+(K44*10+L44*20)*12*0.85</f>
        <v>673546.79999999993</v>
      </c>
      <c r="AS44" s="3">
        <f t="shared" ref="AS44:AS51" si="20">+(K44*10+L44*20)*12*30</f>
        <v>23772240</v>
      </c>
      <c r="AT44" s="6">
        <f t="shared" si="18"/>
        <v>-18498578.88295538</v>
      </c>
      <c r="AW44" s="62">
        <f t="shared" si="11"/>
        <v>9041524.1470446158</v>
      </c>
      <c r="AX44" s="55">
        <v>3433452.29</v>
      </c>
      <c r="AY44" s="55">
        <v>2760585.92</v>
      </c>
      <c r="AZ44" s="55">
        <v>0</v>
      </c>
      <c r="BA44" s="55">
        <v>2310726.81</v>
      </c>
      <c r="BB44" s="55">
        <v>0</v>
      </c>
      <c r="BC44" s="55"/>
      <c r="BD44" s="55"/>
      <c r="BE44" s="55">
        <v>0</v>
      </c>
      <c r="BF44" s="55">
        <v>0</v>
      </c>
      <c r="BG44" s="55">
        <v>0</v>
      </c>
      <c r="BH44" s="55">
        <v>0</v>
      </c>
      <c r="BI44" s="55">
        <v>0</v>
      </c>
      <c r="BJ44" s="55"/>
      <c r="BK44" s="63"/>
      <c r="BL44" s="64">
        <v>536759.12704461697</v>
      </c>
      <c r="BM44" s="8">
        <f t="shared" si="12"/>
        <v>9041524.1470446158</v>
      </c>
      <c r="BN44" s="55">
        <v>3433452.29</v>
      </c>
      <c r="BO44" s="55">
        <v>2760585.92</v>
      </c>
      <c r="BP44" s="55">
        <v>0</v>
      </c>
      <c r="BQ44" s="55">
        <v>2310726.81</v>
      </c>
      <c r="BR44" s="55">
        <v>0</v>
      </c>
      <c r="BS44" s="55"/>
      <c r="BT44" s="55"/>
      <c r="BU44" s="55">
        <v>0</v>
      </c>
      <c r="BV44" s="55">
        <v>0</v>
      </c>
      <c r="BW44" s="55">
        <v>0</v>
      </c>
      <c r="BX44" s="55">
        <v>0</v>
      </c>
      <c r="BY44" s="55">
        <v>0</v>
      </c>
      <c r="BZ44" s="55"/>
      <c r="CA44" s="63"/>
      <c r="CB44" s="64">
        <v>536759.12704461697</v>
      </c>
    </row>
    <row r="45" spans="1:80" x14ac:dyDescent="0.25">
      <c r="A45" s="52">
        <f t="shared" si="13"/>
        <v>28</v>
      </c>
      <c r="B45" s="53">
        <f t="shared" si="14"/>
        <v>28</v>
      </c>
      <c r="C45" s="53" t="s">
        <v>75</v>
      </c>
      <c r="D45" s="53" t="s">
        <v>95</v>
      </c>
      <c r="E45" s="54">
        <v>1986</v>
      </c>
      <c r="F45" s="54">
        <v>2013</v>
      </c>
      <c r="G45" s="54" t="s">
        <v>64</v>
      </c>
      <c r="H45" s="54">
        <v>5</v>
      </c>
      <c r="I45" s="54">
        <v>3</v>
      </c>
      <c r="J45" s="55">
        <v>4428.3999999999996</v>
      </c>
      <c r="K45" s="55">
        <v>3725.8</v>
      </c>
      <c r="L45" s="55">
        <v>0</v>
      </c>
      <c r="M45" s="56">
        <v>153</v>
      </c>
      <c r="N45" s="62">
        <v>5302435.6314287204</v>
      </c>
      <c r="O45" s="55"/>
      <c r="P45" s="63"/>
      <c r="Q45" s="63"/>
      <c r="R45" s="63">
        <v>2244260.13</v>
      </c>
      <c r="S45" s="63">
        <v>3058175.5014287201</v>
      </c>
      <c r="T45" s="55">
        <v>0</v>
      </c>
      <c r="U45" s="63">
        <v>1423.1670061272</v>
      </c>
      <c r="V45" s="63">
        <v>1423.1670061272</v>
      </c>
      <c r="W45" s="59">
        <v>2022</v>
      </c>
      <c r="X45" s="6" t="e">
        <v>#REF!</v>
      </c>
      <c r="Z45" s="62">
        <f t="shared" si="7"/>
        <v>12150273.237424362</v>
      </c>
      <c r="AA45" s="55">
        <v>7382843.4652546104</v>
      </c>
      <c r="AB45" s="55">
        <v>0</v>
      </c>
      <c r="AC45" s="55">
        <v>0</v>
      </c>
      <c r="AD45" s="55">
        <v>2979436.7931331</v>
      </c>
      <c r="AE45" s="55">
        <v>0</v>
      </c>
      <c r="AF45" s="55"/>
      <c r="AG45" s="55">
        <v>306525.58168040199</v>
      </c>
      <c r="AH45" s="55">
        <v>0</v>
      </c>
      <c r="AI45" s="55">
        <v>0</v>
      </c>
      <c r="AJ45" s="55">
        <v>0</v>
      </c>
      <c r="AK45" s="55">
        <v>0</v>
      </c>
      <c r="AL45" s="55">
        <v>0</v>
      </c>
      <c r="AM45" s="55">
        <v>1126659.48924375</v>
      </c>
      <c r="AN45" s="63">
        <v>121502.73237424401</v>
      </c>
      <c r="AO45" s="64">
        <v>233305.17573825599</v>
      </c>
      <c r="AP45" s="61">
        <f>+N45-'Приложение №2'!E45</f>
        <v>0</v>
      </c>
      <c r="AQ45" s="1">
        <v>1864228.53</v>
      </c>
      <c r="AR45" s="3">
        <f t="shared" si="19"/>
        <v>380031.6</v>
      </c>
      <c r="AS45" s="3">
        <f t="shared" si="20"/>
        <v>13412880</v>
      </c>
      <c r="AT45" s="6">
        <f t="shared" si="18"/>
        <v>-10354704.49857128</v>
      </c>
      <c r="AW45" s="62">
        <f t="shared" si="11"/>
        <v>5302435.6314287242</v>
      </c>
      <c r="AX45" s="55"/>
      <c r="AY45" s="55">
        <v>0</v>
      </c>
      <c r="AZ45" s="55">
        <v>0</v>
      </c>
      <c r="BA45" s="55"/>
      <c r="BB45" s="55">
        <v>0</v>
      </c>
      <c r="BC45" s="55"/>
      <c r="BD45" s="55"/>
      <c r="BE45" s="55">
        <v>0</v>
      </c>
      <c r="BF45" s="55">
        <v>0</v>
      </c>
      <c r="BG45" s="55">
        <v>5115227.17</v>
      </c>
      <c r="BH45" s="55">
        <v>0</v>
      </c>
      <c r="BI45" s="55">
        <v>0</v>
      </c>
      <c r="BJ45" s="55"/>
      <c r="BK45" s="63"/>
      <c r="BL45" s="64">
        <v>187208.461428724</v>
      </c>
      <c r="BM45" s="8">
        <f t="shared" si="12"/>
        <v>5302435.6314287242</v>
      </c>
      <c r="BN45" s="55"/>
      <c r="BO45" s="55">
        <v>0</v>
      </c>
      <c r="BP45" s="55">
        <v>0</v>
      </c>
      <c r="BQ45" s="55"/>
      <c r="BR45" s="55">
        <v>0</v>
      </c>
      <c r="BS45" s="55"/>
      <c r="BT45" s="55"/>
      <c r="BU45" s="55">
        <v>0</v>
      </c>
      <c r="BV45" s="55">
        <v>0</v>
      </c>
      <c r="BW45" s="55">
        <v>5115227.17</v>
      </c>
      <c r="BX45" s="55">
        <v>0</v>
      </c>
      <c r="BY45" s="55">
        <v>0</v>
      </c>
      <c r="BZ45" s="55"/>
      <c r="CA45" s="63"/>
      <c r="CB45" s="64">
        <v>187208.461428724</v>
      </c>
    </row>
    <row r="46" spans="1:80" x14ac:dyDescent="0.25">
      <c r="A46" s="52">
        <f t="shared" si="13"/>
        <v>29</v>
      </c>
      <c r="B46" s="53">
        <f t="shared" si="14"/>
        <v>29</v>
      </c>
      <c r="C46" s="53" t="s">
        <v>75</v>
      </c>
      <c r="D46" s="53" t="s">
        <v>96</v>
      </c>
      <c r="E46" s="54">
        <v>1982</v>
      </c>
      <c r="F46" s="54">
        <v>2015</v>
      </c>
      <c r="G46" s="54" t="s">
        <v>64</v>
      </c>
      <c r="H46" s="54">
        <v>5</v>
      </c>
      <c r="I46" s="54">
        <v>2</v>
      </c>
      <c r="J46" s="55">
        <v>4442.3</v>
      </c>
      <c r="K46" s="55">
        <v>3156.5</v>
      </c>
      <c r="L46" s="55">
        <v>550.29999999999995</v>
      </c>
      <c r="M46" s="56">
        <v>201</v>
      </c>
      <c r="N46" s="62">
        <v>4475493.9860630399</v>
      </c>
      <c r="O46" s="55"/>
      <c r="P46" s="63"/>
      <c r="Q46" s="63"/>
      <c r="R46" s="63">
        <v>2476157.23</v>
      </c>
      <c r="S46" s="63">
        <v>1999336.7560630401</v>
      </c>
      <c r="T46" s="55">
        <v>0</v>
      </c>
      <c r="U46" s="63">
        <v>1207.37401156335</v>
      </c>
      <c r="V46" s="63">
        <v>1207.37401156335</v>
      </c>
      <c r="W46" s="59">
        <v>2022</v>
      </c>
      <c r="X46" s="6" t="e">
        <v>#REF!</v>
      </c>
      <c r="Z46" s="62">
        <f t="shared" si="7"/>
        <v>7162902.2400000012</v>
      </c>
      <c r="AA46" s="55">
        <v>0</v>
      </c>
      <c r="AB46" s="55">
        <v>0</v>
      </c>
      <c r="AC46" s="55">
        <v>0</v>
      </c>
      <c r="AD46" s="55">
        <v>0</v>
      </c>
      <c r="AE46" s="55">
        <v>0</v>
      </c>
      <c r="AF46" s="55"/>
      <c r="AG46" s="55">
        <v>0</v>
      </c>
      <c r="AH46" s="55">
        <v>0</v>
      </c>
      <c r="AI46" s="55">
        <v>0</v>
      </c>
      <c r="AJ46" s="55">
        <v>6238558.3575369604</v>
      </c>
      <c r="AK46" s="55">
        <v>0</v>
      </c>
      <c r="AL46" s="55">
        <v>0</v>
      </c>
      <c r="AM46" s="55">
        <v>716290.22400000005</v>
      </c>
      <c r="AN46" s="63">
        <v>71629.022400000002</v>
      </c>
      <c r="AO46" s="64">
        <v>136424.63606304</v>
      </c>
      <c r="AP46" s="61">
        <f>+N46-'Приложение №2'!E46</f>
        <v>0</v>
      </c>
      <c r="AQ46" s="1">
        <v>2041933.03</v>
      </c>
      <c r="AR46" s="3">
        <f t="shared" si="19"/>
        <v>434224.2</v>
      </c>
      <c r="AS46" s="3">
        <f t="shared" si="20"/>
        <v>15325560</v>
      </c>
      <c r="AT46" s="6">
        <f t="shared" si="18"/>
        <v>-13326223.24393696</v>
      </c>
      <c r="AW46" s="62">
        <f t="shared" si="11"/>
        <v>4475493.9860630399</v>
      </c>
      <c r="AX46" s="55">
        <v>0</v>
      </c>
      <c r="AY46" s="55">
        <v>0</v>
      </c>
      <c r="AZ46" s="55">
        <v>0</v>
      </c>
      <c r="BA46" s="55">
        <v>0</v>
      </c>
      <c r="BB46" s="55">
        <v>0</v>
      </c>
      <c r="BC46" s="55"/>
      <c r="BD46" s="55"/>
      <c r="BE46" s="55">
        <v>0</v>
      </c>
      <c r="BF46" s="55">
        <v>0</v>
      </c>
      <c r="BG46" s="55">
        <v>4339069.3499999996</v>
      </c>
      <c r="BH46" s="55">
        <v>0</v>
      </c>
      <c r="BI46" s="55">
        <v>0</v>
      </c>
      <c r="BJ46" s="55"/>
      <c r="BK46" s="63"/>
      <c r="BL46" s="64">
        <v>136424.63606304</v>
      </c>
      <c r="BM46" s="8">
        <f t="shared" si="12"/>
        <v>4475493.9860630399</v>
      </c>
      <c r="BN46" s="55">
        <v>0</v>
      </c>
      <c r="BO46" s="55">
        <v>0</v>
      </c>
      <c r="BP46" s="55">
        <v>0</v>
      </c>
      <c r="BQ46" s="55">
        <v>0</v>
      </c>
      <c r="BR46" s="55">
        <v>0</v>
      </c>
      <c r="BS46" s="55"/>
      <c r="BT46" s="55"/>
      <c r="BU46" s="55">
        <v>0</v>
      </c>
      <c r="BV46" s="55">
        <v>0</v>
      </c>
      <c r="BW46" s="55">
        <v>4339069.3499999996</v>
      </c>
      <c r="BX46" s="55">
        <v>0</v>
      </c>
      <c r="BY46" s="55">
        <v>0</v>
      </c>
      <c r="BZ46" s="55"/>
      <c r="CA46" s="63"/>
      <c r="CB46" s="64">
        <v>136424.63606304</v>
      </c>
    </row>
    <row r="47" spans="1:80" x14ac:dyDescent="0.25">
      <c r="A47" s="52">
        <f t="shared" si="13"/>
        <v>30</v>
      </c>
      <c r="B47" s="53">
        <f t="shared" si="14"/>
        <v>30</v>
      </c>
      <c r="C47" s="53" t="s">
        <v>75</v>
      </c>
      <c r="D47" s="53" t="s">
        <v>97</v>
      </c>
      <c r="E47" s="54">
        <v>1982</v>
      </c>
      <c r="F47" s="54">
        <v>2015</v>
      </c>
      <c r="G47" s="54" t="s">
        <v>64</v>
      </c>
      <c r="H47" s="54">
        <v>5</v>
      </c>
      <c r="I47" s="54">
        <v>2</v>
      </c>
      <c r="J47" s="55">
        <v>4452.8</v>
      </c>
      <c r="K47" s="55">
        <v>3512.5</v>
      </c>
      <c r="L47" s="55">
        <v>318.8</v>
      </c>
      <c r="M47" s="56">
        <v>217</v>
      </c>
      <c r="N47" s="62">
        <v>4016836.50073398</v>
      </c>
      <c r="O47" s="55"/>
      <c r="P47" s="63"/>
      <c r="Q47" s="63"/>
      <c r="R47" s="63">
        <v>1643740.64</v>
      </c>
      <c r="S47" s="63">
        <v>1314001.95</v>
      </c>
      <c r="T47" s="55">
        <v>1059093.9107339799</v>
      </c>
      <c r="U47" s="63">
        <v>1048.4265133855299</v>
      </c>
      <c r="V47" s="63">
        <v>1048.4265133855299</v>
      </c>
      <c r="W47" s="59">
        <v>2022</v>
      </c>
      <c r="X47" s="6" t="e">
        <v>#REF!</v>
      </c>
      <c r="Z47" s="62">
        <f t="shared" si="7"/>
        <v>7066064.3040000051</v>
      </c>
      <c r="AA47" s="55">
        <v>0</v>
      </c>
      <c r="AB47" s="55">
        <v>0</v>
      </c>
      <c r="AC47" s="55">
        <v>0</v>
      </c>
      <c r="AD47" s="55">
        <v>0</v>
      </c>
      <c r="AE47" s="55">
        <v>0</v>
      </c>
      <c r="AF47" s="55"/>
      <c r="AG47" s="55">
        <v>0</v>
      </c>
      <c r="AH47" s="55">
        <v>0</v>
      </c>
      <c r="AI47" s="55">
        <v>0</v>
      </c>
      <c r="AJ47" s="55">
        <v>6154216.9698260203</v>
      </c>
      <c r="AK47" s="55">
        <v>0</v>
      </c>
      <c r="AL47" s="55">
        <v>0</v>
      </c>
      <c r="AM47" s="55">
        <v>706606.43039999995</v>
      </c>
      <c r="AN47" s="63">
        <v>70660.643039999995</v>
      </c>
      <c r="AO47" s="64">
        <v>134580.260733984</v>
      </c>
      <c r="AP47" s="61">
        <f>+N47-'Приложение №2'!E47</f>
        <v>-4.1909515857696533E-9</v>
      </c>
      <c r="AQ47" s="1">
        <v>1702606.52</v>
      </c>
      <c r="AR47" s="3">
        <f t="shared" si="19"/>
        <v>423310.2</v>
      </c>
      <c r="AS47" s="3">
        <f t="shared" si="20"/>
        <v>14940360</v>
      </c>
      <c r="AT47" s="6">
        <f t="shared" si="18"/>
        <v>-13626358.050000001</v>
      </c>
      <c r="AW47" s="62">
        <f t="shared" si="11"/>
        <v>4016836.5007339842</v>
      </c>
      <c r="AX47" s="55">
        <v>0</v>
      </c>
      <c r="AY47" s="55">
        <v>0</v>
      </c>
      <c r="AZ47" s="55">
        <v>0</v>
      </c>
      <c r="BA47" s="55">
        <v>0</v>
      </c>
      <c r="BB47" s="55">
        <v>0</v>
      </c>
      <c r="BC47" s="55"/>
      <c r="BD47" s="55"/>
      <c r="BE47" s="55">
        <v>0</v>
      </c>
      <c r="BF47" s="55">
        <v>0</v>
      </c>
      <c r="BG47" s="55">
        <v>3882256.24</v>
      </c>
      <c r="BH47" s="55">
        <v>0</v>
      </c>
      <c r="BI47" s="55">
        <v>0</v>
      </c>
      <c r="BJ47" s="55"/>
      <c r="BK47" s="63"/>
      <c r="BL47" s="64">
        <v>134580.260733984</v>
      </c>
      <c r="BM47" s="8">
        <f t="shared" si="12"/>
        <v>4016836.5007339842</v>
      </c>
      <c r="BN47" s="55">
        <v>0</v>
      </c>
      <c r="BO47" s="55">
        <v>0</v>
      </c>
      <c r="BP47" s="55">
        <v>0</v>
      </c>
      <c r="BQ47" s="55">
        <v>0</v>
      </c>
      <c r="BR47" s="55">
        <v>0</v>
      </c>
      <c r="BS47" s="55"/>
      <c r="BT47" s="55"/>
      <c r="BU47" s="55">
        <v>0</v>
      </c>
      <c r="BV47" s="55">
        <v>0</v>
      </c>
      <c r="BW47" s="55">
        <v>3882256.24</v>
      </c>
      <c r="BX47" s="55">
        <v>0</v>
      </c>
      <c r="BY47" s="55">
        <v>0</v>
      </c>
      <c r="BZ47" s="55"/>
      <c r="CA47" s="63"/>
      <c r="CB47" s="64">
        <v>134580.260733984</v>
      </c>
    </row>
    <row r="48" spans="1:80" x14ac:dyDescent="0.25">
      <c r="A48" s="52">
        <f t="shared" si="13"/>
        <v>31</v>
      </c>
      <c r="B48" s="53">
        <f t="shared" si="14"/>
        <v>31</v>
      </c>
      <c r="C48" s="53" t="s">
        <v>75</v>
      </c>
      <c r="D48" s="53" t="s">
        <v>98</v>
      </c>
      <c r="E48" s="54">
        <v>1982</v>
      </c>
      <c r="F48" s="54">
        <v>2015</v>
      </c>
      <c r="G48" s="54" t="s">
        <v>64</v>
      </c>
      <c r="H48" s="54">
        <v>5</v>
      </c>
      <c r="I48" s="54">
        <v>2</v>
      </c>
      <c r="J48" s="55">
        <v>4432.8999999999996</v>
      </c>
      <c r="K48" s="55">
        <v>3547.5</v>
      </c>
      <c r="L48" s="55">
        <v>134.80000000000001</v>
      </c>
      <c r="M48" s="56">
        <v>210</v>
      </c>
      <c r="N48" s="62">
        <v>4129287.6900192602</v>
      </c>
      <c r="O48" s="55"/>
      <c r="P48" s="63"/>
      <c r="Q48" s="63"/>
      <c r="R48" s="63">
        <v>1735919.07</v>
      </c>
      <c r="S48" s="63">
        <v>1334293.18</v>
      </c>
      <c r="T48" s="55">
        <v>1059075.4400192599</v>
      </c>
      <c r="U48" s="63">
        <v>1121.38817858927</v>
      </c>
      <c r="V48" s="63">
        <v>1121.38817858927</v>
      </c>
      <c r="W48" s="59">
        <v>2022</v>
      </c>
      <c r="X48" s="6" t="e">
        <v>#REF!</v>
      </c>
      <c r="Z48" s="62">
        <f t="shared" si="7"/>
        <v>7065093.9840000039</v>
      </c>
      <c r="AA48" s="55">
        <v>0</v>
      </c>
      <c r="AB48" s="55">
        <v>0</v>
      </c>
      <c r="AC48" s="55">
        <v>0</v>
      </c>
      <c r="AD48" s="55">
        <v>0</v>
      </c>
      <c r="AE48" s="55">
        <v>0</v>
      </c>
      <c r="AF48" s="55"/>
      <c r="AG48" s="55">
        <v>0</v>
      </c>
      <c r="AH48" s="55">
        <v>0</v>
      </c>
      <c r="AI48" s="55">
        <v>0</v>
      </c>
      <c r="AJ48" s="55">
        <v>6153371.8657407397</v>
      </c>
      <c r="AK48" s="55">
        <v>0</v>
      </c>
      <c r="AL48" s="55">
        <v>0</v>
      </c>
      <c r="AM48" s="55">
        <v>706509.39839999995</v>
      </c>
      <c r="AN48" s="63">
        <v>70650.939840000006</v>
      </c>
      <c r="AO48" s="64">
        <v>134561.780019264</v>
      </c>
      <c r="AP48" s="61">
        <f>+N48-'Приложение №2'!E48</f>
        <v>-4.1909515857696533E-9</v>
      </c>
      <c r="AQ48" s="1">
        <v>1792243.71</v>
      </c>
      <c r="AR48" s="3">
        <f t="shared" si="19"/>
        <v>389344.2</v>
      </c>
      <c r="AS48" s="3">
        <f t="shared" si="20"/>
        <v>13741560</v>
      </c>
      <c r="AT48" s="6">
        <f t="shared" si="18"/>
        <v>-12407266.82</v>
      </c>
      <c r="AW48" s="62">
        <f t="shared" si="11"/>
        <v>4129287.6900192644</v>
      </c>
      <c r="AX48" s="55">
        <v>0</v>
      </c>
      <c r="AY48" s="55">
        <v>0</v>
      </c>
      <c r="AZ48" s="55">
        <v>0</v>
      </c>
      <c r="BA48" s="55">
        <v>0</v>
      </c>
      <c r="BB48" s="55">
        <v>0</v>
      </c>
      <c r="BC48" s="55"/>
      <c r="BD48" s="55"/>
      <c r="BE48" s="55">
        <v>0</v>
      </c>
      <c r="BF48" s="55">
        <v>0</v>
      </c>
      <c r="BG48" s="55">
        <v>3994725.91</v>
      </c>
      <c r="BH48" s="55">
        <v>0</v>
      </c>
      <c r="BI48" s="55">
        <v>0</v>
      </c>
      <c r="BJ48" s="55"/>
      <c r="BK48" s="63"/>
      <c r="BL48" s="64">
        <v>134561.780019264</v>
      </c>
      <c r="BM48" s="8">
        <f t="shared" si="12"/>
        <v>4129287.6900192644</v>
      </c>
      <c r="BN48" s="55">
        <v>0</v>
      </c>
      <c r="BO48" s="55">
        <v>0</v>
      </c>
      <c r="BP48" s="55">
        <v>0</v>
      </c>
      <c r="BQ48" s="55">
        <v>0</v>
      </c>
      <c r="BR48" s="55">
        <v>0</v>
      </c>
      <c r="BS48" s="55"/>
      <c r="BT48" s="55"/>
      <c r="BU48" s="55">
        <v>0</v>
      </c>
      <c r="BV48" s="55">
        <v>0</v>
      </c>
      <c r="BW48" s="55">
        <v>3994725.91</v>
      </c>
      <c r="BX48" s="55">
        <v>0</v>
      </c>
      <c r="BY48" s="55">
        <v>0</v>
      </c>
      <c r="BZ48" s="55"/>
      <c r="CA48" s="63"/>
      <c r="CB48" s="64">
        <v>134561.780019264</v>
      </c>
    </row>
    <row r="49" spans="1:80" x14ac:dyDescent="0.25">
      <c r="A49" s="52">
        <f t="shared" si="13"/>
        <v>32</v>
      </c>
      <c r="B49" s="53">
        <f t="shared" si="14"/>
        <v>32</v>
      </c>
      <c r="C49" s="53" t="s">
        <v>75</v>
      </c>
      <c r="D49" s="53" t="s">
        <v>99</v>
      </c>
      <c r="E49" s="54" t="s">
        <v>100</v>
      </c>
      <c r="F49" s="54"/>
      <c r="G49" s="54" t="s">
        <v>64</v>
      </c>
      <c r="H49" s="54" t="s">
        <v>101</v>
      </c>
      <c r="I49" s="54" t="s">
        <v>102</v>
      </c>
      <c r="J49" s="55">
        <v>4415.8999999999996</v>
      </c>
      <c r="K49" s="55">
        <v>2900.4</v>
      </c>
      <c r="L49" s="55">
        <v>868.6</v>
      </c>
      <c r="M49" s="56">
        <v>169</v>
      </c>
      <c r="N49" s="57">
        <v>3549906.48971568</v>
      </c>
      <c r="O49" s="58">
        <v>0</v>
      </c>
      <c r="P49" s="63">
        <v>0</v>
      </c>
      <c r="Q49" s="63">
        <v>0</v>
      </c>
      <c r="R49" s="63">
        <v>3549906.48971568</v>
      </c>
      <c r="S49" s="63"/>
      <c r="T49" s="63">
        <v>0</v>
      </c>
      <c r="U49" s="55">
        <v>941.86959132811899</v>
      </c>
      <c r="V49" s="55">
        <v>941.86959132811899</v>
      </c>
      <c r="W49" s="59">
        <v>2022</v>
      </c>
      <c r="X49" s="6"/>
      <c r="Z49" s="62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63"/>
      <c r="AO49" s="64"/>
      <c r="AP49" s="61">
        <f>+N49-'Приложение №2'!E49</f>
        <v>0</v>
      </c>
      <c r="AQ49" s="1">
        <v>3734892.48</v>
      </c>
      <c r="AR49" s="3">
        <f t="shared" si="19"/>
        <v>473035.2</v>
      </c>
      <c r="AS49" s="3">
        <f t="shared" si="20"/>
        <v>16695360</v>
      </c>
      <c r="AT49" s="6">
        <f t="shared" si="18"/>
        <v>-16695360</v>
      </c>
      <c r="AW49" s="62">
        <f t="shared" si="11"/>
        <v>3549906.48971568</v>
      </c>
      <c r="AX49" s="55">
        <v>0</v>
      </c>
      <c r="AY49" s="55">
        <v>0</v>
      </c>
      <c r="AZ49" s="55">
        <v>0</v>
      </c>
      <c r="BA49" s="55">
        <v>0</v>
      </c>
      <c r="BB49" s="55">
        <v>0</v>
      </c>
      <c r="BC49" s="55"/>
      <c r="BD49" s="55"/>
      <c r="BE49" s="55">
        <v>0</v>
      </c>
      <c r="BF49" s="55">
        <v>0</v>
      </c>
      <c r="BG49" s="55">
        <v>3410025.96</v>
      </c>
      <c r="BH49" s="55">
        <v>0</v>
      </c>
      <c r="BI49" s="55">
        <v>0</v>
      </c>
      <c r="BJ49" s="55"/>
      <c r="BK49" s="63"/>
      <c r="BL49" s="64">
        <v>139880.52971567999</v>
      </c>
      <c r="BM49" s="8">
        <f t="shared" si="12"/>
        <v>3549906.48971568</v>
      </c>
      <c r="BN49" s="55">
        <v>0</v>
      </c>
      <c r="BO49" s="55">
        <v>0</v>
      </c>
      <c r="BP49" s="55">
        <v>0</v>
      </c>
      <c r="BQ49" s="55">
        <v>0</v>
      </c>
      <c r="BR49" s="55">
        <v>0</v>
      </c>
      <c r="BS49" s="55"/>
      <c r="BT49" s="55"/>
      <c r="BU49" s="55">
        <v>0</v>
      </c>
      <c r="BV49" s="55">
        <v>0</v>
      </c>
      <c r="BW49" s="55">
        <v>3410025.96</v>
      </c>
      <c r="BX49" s="55">
        <v>0</v>
      </c>
      <c r="BY49" s="55">
        <v>0</v>
      </c>
      <c r="BZ49" s="55"/>
      <c r="CA49" s="63"/>
      <c r="CB49" s="64">
        <v>139880.52971567999</v>
      </c>
    </row>
    <row r="50" spans="1:80" x14ac:dyDescent="0.25">
      <c r="A50" s="52">
        <f t="shared" si="13"/>
        <v>33</v>
      </c>
      <c r="B50" s="53">
        <f t="shared" si="14"/>
        <v>33</v>
      </c>
      <c r="C50" s="53" t="s">
        <v>75</v>
      </c>
      <c r="D50" s="53" t="s">
        <v>103</v>
      </c>
      <c r="E50" s="54">
        <v>1983</v>
      </c>
      <c r="F50" s="54">
        <v>2008</v>
      </c>
      <c r="G50" s="54" t="s">
        <v>64</v>
      </c>
      <c r="H50" s="54">
        <v>5</v>
      </c>
      <c r="I50" s="54">
        <v>3</v>
      </c>
      <c r="J50" s="55">
        <v>5132.1000000000004</v>
      </c>
      <c r="K50" s="55">
        <v>4364.6000000000004</v>
      </c>
      <c r="L50" s="55">
        <v>0</v>
      </c>
      <c r="M50" s="56">
        <v>197</v>
      </c>
      <c r="N50" s="62">
        <v>12323375.331854001</v>
      </c>
      <c r="O50" s="55"/>
      <c r="P50" s="63">
        <v>1178824.69</v>
      </c>
      <c r="Q50" s="63"/>
      <c r="R50" s="63">
        <v>2481839.0699999998</v>
      </c>
      <c r="S50" s="63">
        <v>8662711.5718539692</v>
      </c>
      <c r="T50" s="55">
        <v>0</v>
      </c>
      <c r="U50" s="63">
        <v>2823.48332764835</v>
      </c>
      <c r="V50" s="63">
        <v>2823.48332764835</v>
      </c>
      <c r="W50" s="59">
        <v>2022</v>
      </c>
      <c r="X50" s="6" t="e">
        <v>#REF!</v>
      </c>
      <c r="Z50" s="62">
        <f t="shared" ref="Z50:Z66" si="21">SUM(AA50:AO50)</f>
        <v>38187844.389634877</v>
      </c>
      <c r="AA50" s="55">
        <v>8573356.2018279508</v>
      </c>
      <c r="AB50" s="55">
        <v>3669586.3729378101</v>
      </c>
      <c r="AC50" s="55">
        <v>3275767.61949783</v>
      </c>
      <c r="AD50" s="55">
        <v>3459882.7712624599</v>
      </c>
      <c r="AE50" s="55">
        <v>0</v>
      </c>
      <c r="AF50" s="55"/>
      <c r="AG50" s="55">
        <v>355954.04522476502</v>
      </c>
      <c r="AH50" s="55">
        <v>0</v>
      </c>
      <c r="AI50" s="55">
        <v>14183322.7702034</v>
      </c>
      <c r="AJ50" s="55">
        <v>0</v>
      </c>
      <c r="AK50" s="55">
        <v>0</v>
      </c>
      <c r="AL50" s="55">
        <v>0</v>
      </c>
      <c r="AM50" s="55">
        <v>3555128.2378351898</v>
      </c>
      <c r="AN50" s="63">
        <v>381878.443896349</v>
      </c>
      <c r="AO50" s="64">
        <v>732967.92694913095</v>
      </c>
      <c r="AP50" s="61">
        <f>+N50-'Приложение №2'!E50</f>
        <v>2.7939677238464355E-8</v>
      </c>
      <c r="AQ50" s="1">
        <v>2036649.87</v>
      </c>
      <c r="AR50" s="3">
        <f t="shared" si="19"/>
        <v>445189.2</v>
      </c>
      <c r="AS50" s="3">
        <f t="shared" si="20"/>
        <v>15712560</v>
      </c>
      <c r="AT50" s="6">
        <f t="shared" si="18"/>
        <v>-7049848.4281460308</v>
      </c>
      <c r="AW50" s="62">
        <f t="shared" ref="AW50:AW81" si="22">SUBTOTAL(9, AX50:BL50)</f>
        <v>12323375.331853973</v>
      </c>
      <c r="AX50" s="55">
        <v>5460916.2000000002</v>
      </c>
      <c r="AY50" s="55"/>
      <c r="AZ50" s="55"/>
      <c r="BA50" s="55">
        <v>2605145.33</v>
      </c>
      <c r="BB50" s="55">
        <v>0</v>
      </c>
      <c r="BC50" s="55"/>
      <c r="BD50" s="55"/>
      <c r="BE50" s="55">
        <v>0</v>
      </c>
      <c r="BF50" s="55">
        <v>3676226.7</v>
      </c>
      <c r="BG50" s="55">
        <v>0</v>
      </c>
      <c r="BH50" s="55">
        <v>0</v>
      </c>
      <c r="BI50" s="55">
        <v>0</v>
      </c>
      <c r="BJ50" s="55"/>
      <c r="BK50" s="63"/>
      <c r="BL50" s="64">
        <v>581087.10185397195</v>
      </c>
      <c r="BM50" s="8">
        <f t="shared" ref="BM50:BM81" si="23">SUBTOTAL(9, BN50:CB50)</f>
        <v>12323375.331853973</v>
      </c>
      <c r="BN50" s="55">
        <v>5460916.2000000002</v>
      </c>
      <c r="BO50" s="55"/>
      <c r="BP50" s="55"/>
      <c r="BQ50" s="55">
        <v>2605145.33</v>
      </c>
      <c r="BR50" s="55">
        <v>0</v>
      </c>
      <c r="BS50" s="55"/>
      <c r="BT50" s="55"/>
      <c r="BU50" s="55">
        <v>0</v>
      </c>
      <c r="BV50" s="55">
        <v>3676226.7</v>
      </c>
      <c r="BW50" s="55">
        <v>0</v>
      </c>
      <c r="BX50" s="55">
        <v>0</v>
      </c>
      <c r="BY50" s="55">
        <v>0</v>
      </c>
      <c r="BZ50" s="55"/>
      <c r="CA50" s="63"/>
      <c r="CB50" s="64">
        <v>581087.10185397195</v>
      </c>
    </row>
    <row r="51" spans="1:80" x14ac:dyDescent="0.25">
      <c r="A51" s="52">
        <f t="shared" ref="A51:A82" si="24">+A50+1</f>
        <v>34</v>
      </c>
      <c r="B51" s="53">
        <f t="shared" ref="B51:B82" si="25">+B50+1</f>
        <v>34</v>
      </c>
      <c r="C51" s="53" t="s">
        <v>75</v>
      </c>
      <c r="D51" s="53" t="s">
        <v>104</v>
      </c>
      <c r="E51" s="54">
        <v>1992</v>
      </c>
      <c r="F51" s="54">
        <v>2001</v>
      </c>
      <c r="G51" s="54" t="s">
        <v>64</v>
      </c>
      <c r="H51" s="54">
        <v>3</v>
      </c>
      <c r="I51" s="54">
        <v>5</v>
      </c>
      <c r="J51" s="55">
        <v>2965.1</v>
      </c>
      <c r="K51" s="55">
        <v>2484</v>
      </c>
      <c r="L51" s="55">
        <v>87.5</v>
      </c>
      <c r="M51" s="56">
        <v>91</v>
      </c>
      <c r="N51" s="62">
        <v>26057138.589374099</v>
      </c>
      <c r="O51" s="55"/>
      <c r="P51" s="63">
        <v>17333675.789999999</v>
      </c>
      <c r="Q51" s="63"/>
      <c r="R51" s="63">
        <v>1187004.6393740801</v>
      </c>
      <c r="S51" s="63">
        <v>7536458.1600000001</v>
      </c>
      <c r="T51" s="55">
        <v>0</v>
      </c>
      <c r="U51" s="63">
        <v>10133.0502000288</v>
      </c>
      <c r="V51" s="63">
        <v>10133.0502000288</v>
      </c>
      <c r="W51" s="59">
        <v>2022</v>
      </c>
      <c r="X51" s="6" t="e">
        <v>#REF!</v>
      </c>
      <c r="Z51" s="62">
        <f t="shared" si="21"/>
        <v>25552155.490000002</v>
      </c>
      <c r="AA51" s="55">
        <v>0</v>
      </c>
      <c r="AB51" s="55">
        <v>0</v>
      </c>
      <c r="AC51" s="55">
        <v>0</v>
      </c>
      <c r="AD51" s="55">
        <v>0</v>
      </c>
      <c r="AE51" s="55">
        <v>0</v>
      </c>
      <c r="AF51" s="55"/>
      <c r="AG51" s="55">
        <v>0</v>
      </c>
      <c r="AH51" s="55">
        <v>0</v>
      </c>
      <c r="AI51" s="55">
        <v>22504805.426262598</v>
      </c>
      <c r="AJ51" s="55">
        <v>0</v>
      </c>
      <c r="AK51" s="55">
        <v>0</v>
      </c>
      <c r="AL51" s="55">
        <v>0</v>
      </c>
      <c r="AM51" s="55">
        <v>2299693.9940999998</v>
      </c>
      <c r="AN51" s="63">
        <v>255521.55489999999</v>
      </c>
      <c r="AO51" s="64">
        <v>492134.51473739999</v>
      </c>
      <c r="AP51" s="61">
        <f>+N51-'Приложение №2'!E51</f>
        <v>0</v>
      </c>
      <c r="AQ51" s="1">
        <v>1173019.05</v>
      </c>
      <c r="AR51" s="3">
        <f t="shared" si="19"/>
        <v>271218</v>
      </c>
      <c r="AS51" s="3">
        <f t="shared" si="20"/>
        <v>9572400</v>
      </c>
      <c r="AT51" s="6">
        <f t="shared" si="18"/>
        <v>-2035941.8399999999</v>
      </c>
      <c r="AW51" s="62">
        <f t="shared" si="22"/>
        <v>26057138.58937408</v>
      </c>
      <c r="AX51" s="55">
        <v>0</v>
      </c>
      <c r="AY51" s="55">
        <v>0</v>
      </c>
      <c r="AZ51" s="55">
        <v>0</v>
      </c>
      <c r="BA51" s="55">
        <v>0</v>
      </c>
      <c r="BB51" s="55">
        <v>0</v>
      </c>
      <c r="BC51" s="55"/>
      <c r="BD51" s="55"/>
      <c r="BE51" s="55">
        <v>0</v>
      </c>
      <c r="BF51" s="55"/>
      <c r="BG51" s="55">
        <v>0</v>
      </c>
      <c r="BH51" s="55">
        <v>24993173.34</v>
      </c>
      <c r="BI51" s="55">
        <v>0</v>
      </c>
      <c r="BJ51" s="55"/>
      <c r="BK51" s="63"/>
      <c r="BL51" s="64">
        <v>1063965.24937408</v>
      </c>
      <c r="BM51" s="8">
        <f t="shared" si="23"/>
        <v>26057138.58937408</v>
      </c>
      <c r="BN51" s="55">
        <v>0</v>
      </c>
      <c r="BO51" s="55">
        <v>0</v>
      </c>
      <c r="BP51" s="55">
        <v>0</v>
      </c>
      <c r="BQ51" s="55">
        <v>0</v>
      </c>
      <c r="BR51" s="55">
        <v>0</v>
      </c>
      <c r="BS51" s="55"/>
      <c r="BT51" s="55"/>
      <c r="BU51" s="55">
        <v>0</v>
      </c>
      <c r="BV51" s="55"/>
      <c r="BW51" s="55">
        <v>0</v>
      </c>
      <c r="BX51" s="55">
        <v>24993173.34</v>
      </c>
      <c r="BY51" s="55">
        <v>0</v>
      </c>
      <c r="BZ51" s="55"/>
      <c r="CA51" s="63"/>
      <c r="CB51" s="64">
        <v>1063965.24937408</v>
      </c>
    </row>
    <row r="52" spans="1:80" x14ac:dyDescent="0.25">
      <c r="A52" s="52">
        <f t="shared" si="24"/>
        <v>35</v>
      </c>
      <c r="B52" s="53">
        <f t="shared" si="25"/>
        <v>35</v>
      </c>
      <c r="C52" s="53" t="s">
        <v>75</v>
      </c>
      <c r="D52" s="53" t="s">
        <v>105</v>
      </c>
      <c r="E52" s="54">
        <v>1987</v>
      </c>
      <c r="F52" s="54">
        <v>2017</v>
      </c>
      <c r="G52" s="54" t="s">
        <v>64</v>
      </c>
      <c r="H52" s="54">
        <v>9</v>
      </c>
      <c r="I52" s="54">
        <v>1</v>
      </c>
      <c r="J52" s="55">
        <v>2767.8</v>
      </c>
      <c r="K52" s="55">
        <v>2150.8000000000002</v>
      </c>
      <c r="L52" s="55">
        <v>66.8</v>
      </c>
      <c r="M52" s="56">
        <v>94</v>
      </c>
      <c r="N52" s="57">
        <v>2330396.1391615798</v>
      </c>
      <c r="O52" s="55"/>
      <c r="P52" s="63"/>
      <c r="Q52" s="63"/>
      <c r="R52" s="63">
        <v>472007.06</v>
      </c>
      <c r="S52" s="63">
        <v>1858389.07916158</v>
      </c>
      <c r="T52" s="63">
        <v>2.3283064365386999E-10</v>
      </c>
      <c r="U52" s="55">
        <v>1050.86405986723</v>
      </c>
      <c r="V52" s="55">
        <v>1050.86405986723</v>
      </c>
      <c r="W52" s="59">
        <v>2022</v>
      </c>
      <c r="X52" s="6" t="e">
        <v>#REF!</v>
      </c>
      <c r="Z52" s="62">
        <f t="shared" si="21"/>
        <v>24358296.106563538</v>
      </c>
      <c r="AA52" s="55">
        <v>5322442.2844350599</v>
      </c>
      <c r="AB52" s="55">
        <v>2129484.5377048999</v>
      </c>
      <c r="AC52" s="55">
        <v>0</v>
      </c>
      <c r="AD52" s="55">
        <v>0</v>
      </c>
      <c r="AE52" s="55">
        <v>0</v>
      </c>
      <c r="AF52" s="55"/>
      <c r="AG52" s="55">
        <v>236468.681965311</v>
      </c>
      <c r="AH52" s="55">
        <v>0</v>
      </c>
      <c r="AI52" s="55">
        <v>0</v>
      </c>
      <c r="AJ52" s="55">
        <v>0</v>
      </c>
      <c r="AK52" s="55">
        <v>13665253.1882038</v>
      </c>
      <c r="AL52" s="55">
        <v>0</v>
      </c>
      <c r="AM52" s="55">
        <v>2294103.4047365398</v>
      </c>
      <c r="AN52" s="63">
        <v>243582.961065635</v>
      </c>
      <c r="AO52" s="64">
        <v>466961.04845229199</v>
      </c>
      <c r="AP52" s="61">
        <f>+N52-'Приложение №2'!E52</f>
        <v>0</v>
      </c>
      <c r="AQ52" s="1">
        <v>1394329.46</v>
      </c>
      <c r="AR52" s="3">
        <f>+(K52*13.29+L52*22.52)*12*0.85</f>
        <v>306902.37360000005</v>
      </c>
      <c r="AS52" s="3">
        <f>+(K52*13.29+L52*22.52)*12*30</f>
        <v>10831848.48</v>
      </c>
      <c r="AT52" s="6">
        <f t="shared" si="18"/>
        <v>-8973459.4008384198</v>
      </c>
      <c r="AW52" s="62">
        <f t="shared" si="22"/>
        <v>2330396.1391615802</v>
      </c>
      <c r="AX52" s="55"/>
      <c r="AY52" s="55">
        <v>2149155.58</v>
      </c>
      <c r="AZ52" s="55">
        <v>0</v>
      </c>
      <c r="BA52" s="55">
        <v>0</v>
      </c>
      <c r="BB52" s="55">
        <v>0</v>
      </c>
      <c r="BC52" s="55"/>
      <c r="BD52" s="55"/>
      <c r="BE52" s="55"/>
      <c r="BF52" s="55"/>
      <c r="BG52" s="55"/>
      <c r="BH52" s="55"/>
      <c r="BI52" s="55">
        <v>0</v>
      </c>
      <c r="BJ52" s="55"/>
      <c r="BK52" s="63"/>
      <c r="BL52" s="64">
        <v>181240.55916157999</v>
      </c>
      <c r="BM52" s="8">
        <f t="shared" si="23"/>
        <v>2330396.1391615802</v>
      </c>
      <c r="BN52" s="55"/>
      <c r="BO52" s="55">
        <v>2149155.58</v>
      </c>
      <c r="BP52" s="55">
        <v>0</v>
      </c>
      <c r="BQ52" s="55">
        <v>0</v>
      </c>
      <c r="BR52" s="55">
        <v>0</v>
      </c>
      <c r="BS52" s="55"/>
      <c r="BT52" s="55"/>
      <c r="BU52" s="55"/>
      <c r="BV52" s="55"/>
      <c r="BW52" s="55"/>
      <c r="BX52" s="55"/>
      <c r="BY52" s="55">
        <v>0</v>
      </c>
      <c r="BZ52" s="55"/>
      <c r="CA52" s="63"/>
      <c r="CB52" s="64">
        <v>181240.55916157999</v>
      </c>
    </row>
    <row r="53" spans="1:80" x14ac:dyDescent="0.25">
      <c r="A53" s="52">
        <f t="shared" si="24"/>
        <v>36</v>
      </c>
      <c r="B53" s="53">
        <f t="shared" si="25"/>
        <v>36</v>
      </c>
      <c r="C53" s="53" t="s">
        <v>75</v>
      </c>
      <c r="D53" s="53" t="s">
        <v>106</v>
      </c>
      <c r="E53" s="54">
        <v>1992</v>
      </c>
      <c r="F53" s="54">
        <v>2009</v>
      </c>
      <c r="G53" s="54" t="s">
        <v>64</v>
      </c>
      <c r="H53" s="54">
        <v>9</v>
      </c>
      <c r="I53" s="54">
        <v>1</v>
      </c>
      <c r="J53" s="55">
        <v>3320.9</v>
      </c>
      <c r="K53" s="55">
        <v>2870.8</v>
      </c>
      <c r="L53" s="55">
        <v>0</v>
      </c>
      <c r="M53" s="56">
        <v>115</v>
      </c>
      <c r="N53" s="62">
        <v>1888185.62766057</v>
      </c>
      <c r="O53" s="55"/>
      <c r="P53" s="63"/>
      <c r="Q53" s="63"/>
      <c r="R53" s="63">
        <v>1888185.62766057</v>
      </c>
      <c r="S53" s="63"/>
      <c r="T53" s="55">
        <v>0</v>
      </c>
      <c r="U53" s="63">
        <v>657.72106300005805</v>
      </c>
      <c r="V53" s="63">
        <v>657.72106300005805</v>
      </c>
      <c r="W53" s="59">
        <v>2022</v>
      </c>
      <c r="X53" s="6" t="e">
        <v>#REF!</v>
      </c>
      <c r="Z53" s="62">
        <f t="shared" si="21"/>
        <v>3421512.8588040178</v>
      </c>
      <c r="AA53" s="55">
        <v>0</v>
      </c>
      <c r="AB53" s="55">
        <v>0</v>
      </c>
      <c r="AC53" s="55">
        <v>0</v>
      </c>
      <c r="AD53" s="55">
        <v>0</v>
      </c>
      <c r="AE53" s="55">
        <v>0</v>
      </c>
      <c r="AF53" s="55"/>
      <c r="AG53" s="55">
        <v>0</v>
      </c>
      <c r="AH53" s="55">
        <v>0</v>
      </c>
      <c r="AI53" s="55">
        <v>3013463.2352630501</v>
      </c>
      <c r="AJ53" s="55">
        <v>0</v>
      </c>
      <c r="AK53" s="55">
        <v>0</v>
      </c>
      <c r="AL53" s="55">
        <v>0</v>
      </c>
      <c r="AM53" s="55">
        <v>307936.15729236201</v>
      </c>
      <c r="AN53" s="63">
        <v>34215.128588040199</v>
      </c>
      <c r="AO53" s="64">
        <v>65898.337660565405</v>
      </c>
      <c r="AP53" s="61">
        <f>+N53-'Приложение №2'!E53</f>
        <v>4.4237822294235229E-9</v>
      </c>
      <c r="AQ53" s="1">
        <v>1773302.69</v>
      </c>
      <c r="AR53" s="3">
        <f>+(K53*13.29+L53*22.52)*12*0.85</f>
        <v>389159.90639999998</v>
      </c>
      <c r="AS53" s="3">
        <f>+(K53*13.29+L53*22.52)*12*30</f>
        <v>13735055.52</v>
      </c>
      <c r="AT53" s="6">
        <f t="shared" si="18"/>
        <v>-13735055.52</v>
      </c>
      <c r="AW53" s="62">
        <f t="shared" si="22"/>
        <v>1888185.6276605655</v>
      </c>
      <c r="AX53" s="55">
        <v>0</v>
      </c>
      <c r="AY53" s="55">
        <v>0</v>
      </c>
      <c r="AZ53" s="55">
        <v>0</v>
      </c>
      <c r="BA53" s="55">
        <v>0</v>
      </c>
      <c r="BB53" s="55">
        <v>0</v>
      </c>
      <c r="BC53" s="55"/>
      <c r="BD53" s="55"/>
      <c r="BE53" s="55">
        <v>0</v>
      </c>
      <c r="BF53" s="55">
        <v>1822287.29</v>
      </c>
      <c r="BG53" s="55">
        <v>0</v>
      </c>
      <c r="BH53" s="55">
        <v>0</v>
      </c>
      <c r="BI53" s="55">
        <v>0</v>
      </c>
      <c r="BJ53" s="55"/>
      <c r="BK53" s="63"/>
      <c r="BL53" s="64">
        <v>65898.337660565405</v>
      </c>
      <c r="BM53" s="8">
        <f t="shared" si="23"/>
        <v>1888185.6276605655</v>
      </c>
      <c r="BN53" s="55">
        <v>0</v>
      </c>
      <c r="BO53" s="55">
        <v>0</v>
      </c>
      <c r="BP53" s="55">
        <v>0</v>
      </c>
      <c r="BQ53" s="55">
        <v>0</v>
      </c>
      <c r="BR53" s="55">
        <v>0</v>
      </c>
      <c r="BS53" s="55"/>
      <c r="BT53" s="55"/>
      <c r="BU53" s="55">
        <v>0</v>
      </c>
      <c r="BV53" s="55">
        <v>1822287.29</v>
      </c>
      <c r="BW53" s="55">
        <v>0</v>
      </c>
      <c r="BX53" s="55">
        <v>0</v>
      </c>
      <c r="BY53" s="55">
        <v>0</v>
      </c>
      <c r="BZ53" s="55"/>
      <c r="CA53" s="63"/>
      <c r="CB53" s="64">
        <v>65898.337660565405</v>
      </c>
    </row>
    <row r="54" spans="1:80" x14ac:dyDescent="0.25">
      <c r="A54" s="52">
        <f t="shared" si="24"/>
        <v>37</v>
      </c>
      <c r="B54" s="53">
        <f t="shared" si="25"/>
        <v>37</v>
      </c>
      <c r="C54" s="53" t="s">
        <v>78</v>
      </c>
      <c r="D54" s="53" t="s">
        <v>107</v>
      </c>
      <c r="E54" s="54">
        <v>1995</v>
      </c>
      <c r="F54" s="54">
        <v>2007</v>
      </c>
      <c r="G54" s="54" t="s">
        <v>64</v>
      </c>
      <c r="H54" s="54">
        <v>9</v>
      </c>
      <c r="I54" s="54">
        <v>3</v>
      </c>
      <c r="J54" s="55">
        <v>8715.5</v>
      </c>
      <c r="K54" s="55">
        <v>7251.1</v>
      </c>
      <c r="L54" s="55">
        <v>660.9</v>
      </c>
      <c r="M54" s="56">
        <v>283</v>
      </c>
      <c r="N54" s="62">
        <v>22074493.370000001</v>
      </c>
      <c r="O54" s="55"/>
      <c r="P54" s="63">
        <v>20694835.300000001</v>
      </c>
      <c r="Q54" s="66"/>
      <c r="R54" s="66">
        <v>1379658.07</v>
      </c>
      <c r="S54" s="63"/>
      <c r="T54" s="55"/>
      <c r="U54" s="63">
        <v>2790.00168983822</v>
      </c>
      <c r="V54" s="63">
        <v>2790.00168983822</v>
      </c>
      <c r="W54" s="59">
        <v>2022</v>
      </c>
      <c r="X54" s="6" t="e">
        <f>+#REF!-#REF!</f>
        <v>#REF!</v>
      </c>
      <c r="Z54" s="62">
        <f t="shared" si="21"/>
        <v>47583718.340731412</v>
      </c>
      <c r="AA54" s="55">
        <v>17694269.116222698</v>
      </c>
      <c r="AB54" s="55">
        <v>7079395.2241015201</v>
      </c>
      <c r="AC54" s="55">
        <v>5228826.4103661096</v>
      </c>
      <c r="AD54" s="55">
        <v>3341459.7872589598</v>
      </c>
      <c r="AE54" s="55">
        <v>0</v>
      </c>
      <c r="AF54" s="55"/>
      <c r="AG54" s="55">
        <v>786131.68027933</v>
      </c>
      <c r="AH54" s="55">
        <v>0</v>
      </c>
      <c r="AI54" s="55">
        <v>7743707.0462670401</v>
      </c>
      <c r="AJ54" s="55">
        <v>0</v>
      </c>
      <c r="AK54" s="55">
        <v>0</v>
      </c>
      <c r="AL54" s="55">
        <v>0</v>
      </c>
      <c r="AM54" s="55">
        <v>4318396.9303716496</v>
      </c>
      <c r="AN54" s="63">
        <v>475837.18340731401</v>
      </c>
      <c r="AO54" s="64">
        <v>915694.962456782</v>
      </c>
      <c r="AP54" s="61">
        <f>+N54-'Приложение №2'!E54</f>
        <v>0</v>
      </c>
      <c r="AR54" s="3">
        <f>+(K54*13.29+L54*22.52)*12*0.85</f>
        <v>1134755.9873999998</v>
      </c>
      <c r="AT54" s="6"/>
      <c r="AW54" s="62">
        <f t="shared" si="22"/>
        <v>22074493.369999997</v>
      </c>
      <c r="AX54" s="55"/>
      <c r="AY54" s="67">
        <v>6965734.7999999998</v>
      </c>
      <c r="AZ54" s="67">
        <v>2892341.42</v>
      </c>
      <c r="BA54" s="67">
        <v>3341459.79</v>
      </c>
      <c r="BB54" s="67">
        <v>0</v>
      </c>
      <c r="BC54" s="67"/>
      <c r="BD54" s="67"/>
      <c r="BE54" s="67">
        <v>0</v>
      </c>
      <c r="BF54" s="67">
        <v>7743707.0499999998</v>
      </c>
      <c r="BG54" s="67">
        <v>0</v>
      </c>
      <c r="BH54" s="67">
        <v>0</v>
      </c>
      <c r="BI54" s="67">
        <v>0</v>
      </c>
      <c r="BJ54" s="67">
        <v>732528.68</v>
      </c>
      <c r="BK54" s="66">
        <v>10000</v>
      </c>
      <c r="BL54" s="68">
        <v>388721.63</v>
      </c>
      <c r="BM54" s="8">
        <f t="shared" si="23"/>
        <v>22074493.369999997</v>
      </c>
      <c r="BN54" s="55"/>
      <c r="BO54" s="67">
        <v>6965734.7999999998</v>
      </c>
      <c r="BP54" s="67">
        <v>2892341.42</v>
      </c>
      <c r="BQ54" s="67">
        <v>3341459.79</v>
      </c>
      <c r="BR54" s="67">
        <v>0</v>
      </c>
      <c r="BS54" s="67"/>
      <c r="BT54" s="67"/>
      <c r="BU54" s="67">
        <v>0</v>
      </c>
      <c r="BV54" s="67">
        <v>7743707.0499999998</v>
      </c>
      <c r="BW54" s="67">
        <v>0</v>
      </c>
      <c r="BX54" s="67">
        <v>0</v>
      </c>
      <c r="BY54" s="67">
        <v>0</v>
      </c>
      <c r="BZ54" s="67">
        <v>732528.68</v>
      </c>
      <c r="CA54" s="66">
        <v>10000</v>
      </c>
      <c r="CB54" s="68">
        <v>388721.63</v>
      </c>
    </row>
    <row r="55" spans="1:80" x14ac:dyDescent="0.25">
      <c r="A55" s="52">
        <f t="shared" si="24"/>
        <v>38</v>
      </c>
      <c r="B55" s="53">
        <f t="shared" si="25"/>
        <v>38</v>
      </c>
      <c r="C55" s="53" t="s">
        <v>108</v>
      </c>
      <c r="D55" s="53" t="s">
        <v>109</v>
      </c>
      <c r="E55" s="54">
        <v>1995</v>
      </c>
      <c r="F55" s="54">
        <v>1995</v>
      </c>
      <c r="G55" s="54" t="s">
        <v>64</v>
      </c>
      <c r="H55" s="54">
        <v>2</v>
      </c>
      <c r="I55" s="54">
        <v>2</v>
      </c>
      <c r="J55" s="55">
        <v>1067.3</v>
      </c>
      <c r="K55" s="55">
        <v>984.4</v>
      </c>
      <c r="L55" s="55">
        <v>0</v>
      </c>
      <c r="M55" s="56">
        <v>43</v>
      </c>
      <c r="N55" s="62">
        <v>12738229.499971399</v>
      </c>
      <c r="O55" s="55"/>
      <c r="P55" s="63">
        <v>0</v>
      </c>
      <c r="Q55" s="63"/>
      <c r="R55" s="63">
        <v>543386.6</v>
      </c>
      <c r="S55" s="63">
        <v>3543840</v>
      </c>
      <c r="T55" s="55">
        <v>8651002.8999713995</v>
      </c>
      <c r="U55" s="63">
        <v>12940.094981685699</v>
      </c>
      <c r="V55" s="63">
        <v>12940.094981685699</v>
      </c>
      <c r="W55" s="59">
        <v>2022</v>
      </c>
      <c r="X55" s="6" t="e">
        <v>#REF!</v>
      </c>
      <c r="Z55" s="62">
        <f t="shared" si="21"/>
        <v>16450906</v>
      </c>
      <c r="AA55" s="55">
        <v>1648275.62422068</v>
      </c>
      <c r="AB55" s="55">
        <v>0</v>
      </c>
      <c r="AC55" s="55">
        <v>1007648.27936304</v>
      </c>
      <c r="AD55" s="55">
        <v>768340.37867075996</v>
      </c>
      <c r="AE55" s="55">
        <v>0</v>
      </c>
      <c r="AF55" s="55"/>
      <c r="AG55" s="55">
        <v>81902.381790600004</v>
      </c>
      <c r="AH55" s="55">
        <v>0</v>
      </c>
      <c r="AI55" s="55">
        <v>2934181.5756624001</v>
      </c>
      <c r="AJ55" s="55">
        <v>0</v>
      </c>
      <c r="AK55" s="55">
        <v>5696730.1661940599</v>
      </c>
      <c r="AL55" s="55">
        <v>2240450.9097830998</v>
      </c>
      <c r="AM55" s="55">
        <v>1594460.1776000001</v>
      </c>
      <c r="AN55" s="63">
        <v>164509.06</v>
      </c>
      <c r="AO55" s="64">
        <v>314407.44671535998</v>
      </c>
      <c r="AP55" s="61">
        <f>+N55-'Приложение №2'!E55</f>
        <v>0</v>
      </c>
      <c r="AQ55" s="1">
        <v>442977.8</v>
      </c>
      <c r="AR55" s="3">
        <f t="shared" ref="AR55:AR66" si="26">+(K55*10+L55*20)*12*0.85</f>
        <v>100408.8</v>
      </c>
      <c r="AS55" s="3">
        <f t="shared" ref="AS55:AS62" si="27">+(K55*10+L55*20)*12*30</f>
        <v>3543840</v>
      </c>
      <c r="AT55" s="6">
        <f t="shared" ref="AT55:AT86" si="28">+S55-AS55</f>
        <v>0</v>
      </c>
      <c r="AW55" s="62">
        <f t="shared" si="22"/>
        <v>12738229.499971401</v>
      </c>
      <c r="AX55" s="55">
        <v>1983392.29</v>
      </c>
      <c r="AY55" s="55">
        <v>0</v>
      </c>
      <c r="AZ55" s="55">
        <v>764851.03</v>
      </c>
      <c r="BA55" s="55">
        <v>859745.54</v>
      </c>
      <c r="BB55" s="55">
        <v>0</v>
      </c>
      <c r="BC55" s="55"/>
      <c r="BD55" s="55"/>
      <c r="BE55" s="55">
        <v>0</v>
      </c>
      <c r="BF55" s="55">
        <v>4729777.2699999996</v>
      </c>
      <c r="BG55" s="55">
        <v>0</v>
      </c>
      <c r="BH55" s="55">
        <v>3962700.17</v>
      </c>
      <c r="BI55" s="55"/>
      <c r="BJ55" s="55">
        <v>118987.5845</v>
      </c>
      <c r="BK55" s="63">
        <v>24854.014500000001</v>
      </c>
      <c r="BL55" s="64">
        <v>293921.60097139998</v>
      </c>
      <c r="BM55" s="8">
        <f t="shared" si="23"/>
        <v>12738229.499971401</v>
      </c>
      <c r="BN55" s="55">
        <v>1983392.29</v>
      </c>
      <c r="BO55" s="55">
        <v>0</v>
      </c>
      <c r="BP55" s="55">
        <v>764851.03</v>
      </c>
      <c r="BQ55" s="55">
        <v>859745.54</v>
      </c>
      <c r="BR55" s="55">
        <v>0</v>
      </c>
      <c r="BS55" s="55"/>
      <c r="BT55" s="55"/>
      <c r="BU55" s="55">
        <v>0</v>
      </c>
      <c r="BV55" s="55">
        <v>4729777.2699999996</v>
      </c>
      <c r="BW55" s="55">
        <v>0</v>
      </c>
      <c r="BX55" s="55">
        <v>3962700.17</v>
      </c>
      <c r="BY55" s="55"/>
      <c r="BZ55" s="55">
        <v>118987.5845</v>
      </c>
      <c r="CA55" s="63">
        <v>24854.014500000001</v>
      </c>
      <c r="CB55" s="64">
        <v>293921.60097139998</v>
      </c>
    </row>
    <row r="56" spans="1:80" x14ac:dyDescent="0.25">
      <c r="A56" s="52">
        <f t="shared" si="24"/>
        <v>39</v>
      </c>
      <c r="B56" s="53">
        <f t="shared" si="25"/>
        <v>39</v>
      </c>
      <c r="C56" s="53" t="s">
        <v>108</v>
      </c>
      <c r="D56" s="53" t="s">
        <v>110</v>
      </c>
      <c r="E56" s="54">
        <v>1999</v>
      </c>
      <c r="F56" s="54">
        <v>2011</v>
      </c>
      <c r="G56" s="54" t="s">
        <v>64</v>
      </c>
      <c r="H56" s="54">
        <v>4</v>
      </c>
      <c r="I56" s="54">
        <v>3</v>
      </c>
      <c r="J56" s="55">
        <v>1789.4</v>
      </c>
      <c r="K56" s="55">
        <v>1789.4</v>
      </c>
      <c r="L56" s="55">
        <v>0</v>
      </c>
      <c r="M56" s="56">
        <v>56</v>
      </c>
      <c r="N56" s="62">
        <v>10031683.765632</v>
      </c>
      <c r="O56" s="55"/>
      <c r="P56" s="63">
        <v>1115147.8799999999</v>
      </c>
      <c r="Q56" s="63"/>
      <c r="R56" s="63">
        <v>889415</v>
      </c>
      <c r="S56" s="63">
        <v>6441840</v>
      </c>
      <c r="T56" s="55">
        <v>1585280.8856319999</v>
      </c>
      <c r="U56" s="63">
        <v>5606.1717702201804</v>
      </c>
      <c r="V56" s="63">
        <v>5606.1717702201804</v>
      </c>
      <c r="W56" s="59">
        <v>2022</v>
      </c>
      <c r="X56" s="6" t="e">
        <v>#REF!</v>
      </c>
      <c r="Z56" s="62">
        <f t="shared" si="21"/>
        <v>15155840.090000002</v>
      </c>
      <c r="AA56" s="55">
        <v>3843679.5940451999</v>
      </c>
      <c r="AB56" s="55">
        <v>0</v>
      </c>
      <c r="AC56" s="55">
        <v>1430991.0437205599</v>
      </c>
      <c r="AD56" s="55">
        <v>895890.87583128002</v>
      </c>
      <c r="AE56" s="55">
        <v>0</v>
      </c>
      <c r="AF56" s="55"/>
      <c r="AG56" s="55">
        <v>147492.512475</v>
      </c>
      <c r="AH56" s="55">
        <v>0</v>
      </c>
      <c r="AI56" s="55">
        <v>7026831.1230768003</v>
      </c>
      <c r="AJ56" s="55">
        <v>0</v>
      </c>
      <c r="AK56" s="55">
        <v>0</v>
      </c>
      <c r="AL56" s="55">
        <v>0</v>
      </c>
      <c r="AM56" s="55">
        <v>1367570.9297</v>
      </c>
      <c r="AN56" s="63">
        <v>151558.40090000001</v>
      </c>
      <c r="AO56" s="64">
        <v>291825.61025115999</v>
      </c>
      <c r="AP56" s="61">
        <f>+N56-'Приложение №2'!E56</f>
        <v>0</v>
      </c>
      <c r="AQ56" s="1">
        <v>725047.53</v>
      </c>
      <c r="AR56" s="3">
        <f t="shared" si="26"/>
        <v>182518.8</v>
      </c>
      <c r="AS56" s="3">
        <f t="shared" si="27"/>
        <v>6441840</v>
      </c>
      <c r="AT56" s="6">
        <f t="shared" si="28"/>
        <v>0</v>
      </c>
      <c r="AW56" s="62">
        <f t="shared" si="22"/>
        <v>10031683.765631998</v>
      </c>
      <c r="AX56" s="55">
        <v>3525522.9</v>
      </c>
      <c r="AY56" s="55">
        <v>0</v>
      </c>
      <c r="AZ56" s="55">
        <v>1377151.25</v>
      </c>
      <c r="BA56" s="55"/>
      <c r="BB56" s="55">
        <v>0</v>
      </c>
      <c r="BC56" s="55"/>
      <c r="BD56" s="55"/>
      <c r="BE56" s="55">
        <v>0</v>
      </c>
      <c r="BF56" s="55">
        <v>4462778.8899999997</v>
      </c>
      <c r="BG56" s="55">
        <v>0</v>
      </c>
      <c r="BH56" s="55">
        <v>0</v>
      </c>
      <c r="BI56" s="55">
        <v>0</v>
      </c>
      <c r="BJ56" s="55">
        <v>322308.03999999998</v>
      </c>
      <c r="BK56" s="63">
        <v>48000</v>
      </c>
      <c r="BL56" s="64">
        <v>295922.68563199998</v>
      </c>
      <c r="BM56" s="8">
        <f t="shared" si="23"/>
        <v>10031683.765631998</v>
      </c>
      <c r="BN56" s="55">
        <v>3525522.9</v>
      </c>
      <c r="BO56" s="55">
        <v>0</v>
      </c>
      <c r="BP56" s="55">
        <v>1377151.25</v>
      </c>
      <c r="BQ56" s="55"/>
      <c r="BR56" s="55">
        <v>0</v>
      </c>
      <c r="BS56" s="55"/>
      <c r="BT56" s="55"/>
      <c r="BU56" s="55">
        <v>0</v>
      </c>
      <c r="BV56" s="55">
        <v>4462778.8899999997</v>
      </c>
      <c r="BW56" s="55">
        <v>0</v>
      </c>
      <c r="BX56" s="55">
        <v>0</v>
      </c>
      <c r="BY56" s="55">
        <v>0</v>
      </c>
      <c r="BZ56" s="55">
        <v>322308.03999999998</v>
      </c>
      <c r="CA56" s="63">
        <v>48000</v>
      </c>
      <c r="CB56" s="64">
        <v>295922.68563199998</v>
      </c>
    </row>
    <row r="57" spans="1:80" x14ac:dyDescent="0.25">
      <c r="A57" s="52">
        <f t="shared" si="24"/>
        <v>40</v>
      </c>
      <c r="B57" s="53">
        <f t="shared" si="25"/>
        <v>40</v>
      </c>
      <c r="C57" s="53" t="s">
        <v>108</v>
      </c>
      <c r="D57" s="53" t="s">
        <v>111</v>
      </c>
      <c r="E57" s="54">
        <v>1995</v>
      </c>
      <c r="F57" s="54">
        <v>2013</v>
      </c>
      <c r="G57" s="54" t="s">
        <v>64</v>
      </c>
      <c r="H57" s="54">
        <v>5</v>
      </c>
      <c r="I57" s="54">
        <v>4</v>
      </c>
      <c r="J57" s="55">
        <v>4929.5</v>
      </c>
      <c r="K57" s="55">
        <v>4328.8999999999996</v>
      </c>
      <c r="L57" s="55">
        <v>0</v>
      </c>
      <c r="M57" s="56">
        <v>159</v>
      </c>
      <c r="N57" s="62">
        <v>7884285.4414625997</v>
      </c>
      <c r="O57" s="55"/>
      <c r="P57" s="63"/>
      <c r="Q57" s="63"/>
      <c r="R57" s="63">
        <v>902303.69</v>
      </c>
      <c r="S57" s="63">
        <v>6981981.7514626002</v>
      </c>
      <c r="T57" s="55">
        <v>0</v>
      </c>
      <c r="U57" s="63">
        <v>1821.3138306411799</v>
      </c>
      <c r="V57" s="63">
        <v>1821.3138306411799</v>
      </c>
      <c r="W57" s="59">
        <v>2022</v>
      </c>
      <c r="X57" s="6" t="e">
        <v>#REF!</v>
      </c>
      <c r="Z57" s="62">
        <f t="shared" si="21"/>
        <v>77122932.979999959</v>
      </c>
      <c r="AA57" s="55">
        <v>7245200.61515796</v>
      </c>
      <c r="AB57" s="55">
        <v>4190097.5862702602</v>
      </c>
      <c r="AC57" s="55">
        <v>4429243.3865698203</v>
      </c>
      <c r="AD57" s="55">
        <v>3377335.7392437598</v>
      </c>
      <c r="AE57" s="55">
        <v>0</v>
      </c>
      <c r="AF57" s="55"/>
      <c r="AG57" s="55">
        <v>360012.11029560002</v>
      </c>
      <c r="AH57" s="55">
        <v>0</v>
      </c>
      <c r="AI57" s="55">
        <v>12897560.1974562</v>
      </c>
      <c r="AJ57" s="55">
        <v>0</v>
      </c>
      <c r="AK57" s="55">
        <v>25040686.283834301</v>
      </c>
      <c r="AL57" s="55">
        <v>9848180.7538505998</v>
      </c>
      <c r="AM57" s="55">
        <v>7489740.9763000002</v>
      </c>
      <c r="AN57" s="63">
        <v>771229.32979999995</v>
      </c>
      <c r="AO57" s="64">
        <v>1473646.0012214601</v>
      </c>
      <c r="AP57" s="61">
        <f>+N57-'Приложение №2'!E57</f>
        <v>0</v>
      </c>
      <c r="AQ57" s="1">
        <v>1948762.98</v>
      </c>
      <c r="AR57" s="3">
        <f t="shared" si="26"/>
        <v>441547.8</v>
      </c>
      <c r="AS57" s="3">
        <f t="shared" si="27"/>
        <v>15584040</v>
      </c>
      <c r="AT57" s="6">
        <f t="shared" si="28"/>
        <v>-8602058.2485373989</v>
      </c>
      <c r="AW57" s="62">
        <f t="shared" si="22"/>
        <v>7884285.4414625997</v>
      </c>
      <c r="AX57" s="55">
        <v>5966685.6799999997</v>
      </c>
      <c r="AY57" s="55">
        <v>1488946.14</v>
      </c>
      <c r="AZ57" s="55"/>
      <c r="BA57" s="55"/>
      <c r="BB57" s="55">
        <v>0</v>
      </c>
      <c r="BC57" s="55"/>
      <c r="BD57" s="55"/>
      <c r="BE57" s="55">
        <v>0</v>
      </c>
      <c r="BF57" s="55"/>
      <c r="BG57" s="55">
        <v>0</v>
      </c>
      <c r="BH57" s="55"/>
      <c r="BI57" s="55"/>
      <c r="BJ57" s="55"/>
      <c r="BK57" s="63"/>
      <c r="BL57" s="64">
        <v>428653.62146260001</v>
      </c>
      <c r="BM57" s="8">
        <f t="shared" si="23"/>
        <v>7884285.4414625997</v>
      </c>
      <c r="BN57" s="55">
        <v>5966685.6799999997</v>
      </c>
      <c r="BO57" s="55">
        <v>1488946.14</v>
      </c>
      <c r="BP57" s="55"/>
      <c r="BQ57" s="55"/>
      <c r="BR57" s="55">
        <v>0</v>
      </c>
      <c r="BS57" s="55"/>
      <c r="BT57" s="55"/>
      <c r="BU57" s="55">
        <v>0</v>
      </c>
      <c r="BV57" s="55"/>
      <c r="BW57" s="55">
        <v>0</v>
      </c>
      <c r="BX57" s="55"/>
      <c r="BY57" s="55"/>
      <c r="BZ57" s="55"/>
      <c r="CA57" s="63"/>
      <c r="CB57" s="64">
        <v>428653.62146260001</v>
      </c>
    </row>
    <row r="58" spans="1:80" x14ac:dyDescent="0.25">
      <c r="A58" s="52">
        <f t="shared" si="24"/>
        <v>41</v>
      </c>
      <c r="B58" s="53">
        <f t="shared" si="25"/>
        <v>41</v>
      </c>
      <c r="C58" s="53" t="s">
        <v>108</v>
      </c>
      <c r="D58" s="53" t="s">
        <v>112</v>
      </c>
      <c r="E58" s="54">
        <v>1983</v>
      </c>
      <c r="F58" s="54">
        <v>1983</v>
      </c>
      <c r="G58" s="54" t="s">
        <v>64</v>
      </c>
      <c r="H58" s="54">
        <v>2</v>
      </c>
      <c r="I58" s="54">
        <v>2</v>
      </c>
      <c r="J58" s="55">
        <v>712.2</v>
      </c>
      <c r="K58" s="55">
        <v>635.1</v>
      </c>
      <c r="L58" s="55">
        <v>0</v>
      </c>
      <c r="M58" s="56">
        <v>33</v>
      </c>
      <c r="N58" s="62">
        <v>12731761.317324201</v>
      </c>
      <c r="O58" s="55"/>
      <c r="P58" s="63">
        <v>2482138.81</v>
      </c>
      <c r="Q58" s="63"/>
      <c r="R58" s="63">
        <v>366253.68</v>
      </c>
      <c r="S58" s="63">
        <v>2286360</v>
      </c>
      <c r="T58" s="55">
        <v>7597008.8273241799</v>
      </c>
      <c r="U58" s="63">
        <v>20046.8608365992</v>
      </c>
      <c r="V58" s="63">
        <v>20046.8608365992</v>
      </c>
      <c r="W58" s="59">
        <v>2022</v>
      </c>
      <c r="X58" s="6" t="e">
        <v>#REF!</v>
      </c>
      <c r="Z58" s="62">
        <f t="shared" si="21"/>
        <v>20279025.380000003</v>
      </c>
      <c r="AA58" s="55">
        <v>1948967.01784512</v>
      </c>
      <c r="AB58" s="55">
        <v>0</v>
      </c>
      <c r="AC58" s="55">
        <v>558813.84979433997</v>
      </c>
      <c r="AD58" s="55">
        <v>476227.19575200003</v>
      </c>
      <c r="AE58" s="55">
        <v>0</v>
      </c>
      <c r="AF58" s="55"/>
      <c r="AG58" s="55">
        <v>198888.25194672</v>
      </c>
      <c r="AH58" s="55">
        <v>0</v>
      </c>
      <c r="AI58" s="55">
        <v>5638041.5737464</v>
      </c>
      <c r="AJ58" s="55">
        <v>0</v>
      </c>
      <c r="AK58" s="55">
        <v>4610023.2322851</v>
      </c>
      <c r="AL58" s="55">
        <v>4338269.1668021996</v>
      </c>
      <c r="AM58" s="55">
        <v>1918427.7604</v>
      </c>
      <c r="AN58" s="63">
        <v>202790.25380000001</v>
      </c>
      <c r="AO58" s="64">
        <v>388577.07762812002</v>
      </c>
      <c r="AP58" s="61">
        <f>+N58-'Приложение №2'!E58</f>
        <v>2.0489096641540527E-8</v>
      </c>
      <c r="AQ58" s="1">
        <v>301473.48</v>
      </c>
      <c r="AR58" s="3">
        <f t="shared" si="26"/>
        <v>64780.2</v>
      </c>
      <c r="AS58" s="3">
        <f t="shared" si="27"/>
        <v>2286360</v>
      </c>
      <c r="AT58" s="6">
        <f t="shared" si="28"/>
        <v>0</v>
      </c>
      <c r="AW58" s="62">
        <f t="shared" si="22"/>
        <v>12731761.31732418</v>
      </c>
      <c r="AX58" s="55">
        <v>1765727.93</v>
      </c>
      <c r="AY58" s="55">
        <v>0</v>
      </c>
      <c r="AZ58" s="55">
        <v>609050.4</v>
      </c>
      <c r="BA58" s="55"/>
      <c r="BB58" s="55">
        <v>0</v>
      </c>
      <c r="BC58" s="55"/>
      <c r="BD58" s="55"/>
      <c r="BE58" s="55">
        <v>0</v>
      </c>
      <c r="BF58" s="55">
        <v>6221591.2110660002</v>
      </c>
      <c r="BG58" s="55"/>
      <c r="BH58" s="55"/>
      <c r="BI58" s="55">
        <v>2928661.91</v>
      </c>
      <c r="BJ58" s="55">
        <v>699135.1274</v>
      </c>
      <c r="BK58" s="63">
        <v>90522.263900000005</v>
      </c>
      <c r="BL58" s="64">
        <v>417072.47495817998</v>
      </c>
      <c r="BM58" s="8">
        <f t="shared" si="23"/>
        <v>12731761.31732418</v>
      </c>
      <c r="BN58" s="55">
        <v>1765727.93</v>
      </c>
      <c r="BO58" s="55">
        <v>0</v>
      </c>
      <c r="BP58" s="55">
        <v>609050.4</v>
      </c>
      <c r="BQ58" s="55"/>
      <c r="BR58" s="55">
        <v>0</v>
      </c>
      <c r="BS58" s="55"/>
      <c r="BT58" s="55"/>
      <c r="BU58" s="55">
        <v>0</v>
      </c>
      <c r="BV58" s="55">
        <v>6221591.2110660002</v>
      </c>
      <c r="BW58" s="55"/>
      <c r="BX58" s="55"/>
      <c r="BY58" s="55">
        <v>2928661.91</v>
      </c>
      <c r="BZ58" s="55">
        <v>699135.1274</v>
      </c>
      <c r="CA58" s="63">
        <v>90522.263900000005</v>
      </c>
      <c r="CB58" s="64">
        <v>417072.47495817998</v>
      </c>
    </row>
    <row r="59" spans="1:80" x14ac:dyDescent="0.25">
      <c r="A59" s="52">
        <f t="shared" si="24"/>
        <v>42</v>
      </c>
      <c r="B59" s="53">
        <f t="shared" si="25"/>
        <v>42</v>
      </c>
      <c r="C59" s="53" t="s">
        <v>108</v>
      </c>
      <c r="D59" s="53" t="s">
        <v>113</v>
      </c>
      <c r="E59" s="54">
        <v>1979</v>
      </c>
      <c r="F59" s="54">
        <v>1979</v>
      </c>
      <c r="G59" s="54" t="s">
        <v>64</v>
      </c>
      <c r="H59" s="54">
        <v>4</v>
      </c>
      <c r="I59" s="54">
        <v>4</v>
      </c>
      <c r="J59" s="55">
        <v>4000.3</v>
      </c>
      <c r="K59" s="55">
        <v>3434.6</v>
      </c>
      <c r="L59" s="55">
        <v>0</v>
      </c>
      <c r="M59" s="56">
        <v>77</v>
      </c>
      <c r="N59" s="62">
        <v>7296497.5090870196</v>
      </c>
      <c r="O59" s="55"/>
      <c r="P59" s="63"/>
      <c r="Q59" s="63"/>
      <c r="R59" s="63">
        <v>1019742.18</v>
      </c>
      <c r="S59" s="63">
        <v>6276755.3290870199</v>
      </c>
      <c r="T59" s="55">
        <v>0</v>
      </c>
      <c r="U59" s="63">
        <v>2124.4096864517001</v>
      </c>
      <c r="V59" s="63">
        <v>2124.4096864517001</v>
      </c>
      <c r="W59" s="59">
        <v>2022</v>
      </c>
      <c r="X59" s="6" t="e">
        <v>#REF!</v>
      </c>
      <c r="Z59" s="62">
        <f t="shared" si="21"/>
        <v>19726119.920000002</v>
      </c>
      <c r="AA59" s="55">
        <v>5852855.9652763205</v>
      </c>
      <c r="AB59" s="55">
        <v>3384866.6112261</v>
      </c>
      <c r="AC59" s="55">
        <v>3578054.6250359402</v>
      </c>
      <c r="AD59" s="55">
        <v>2728297.0723629599</v>
      </c>
      <c r="AE59" s="55">
        <v>1089898.8321589199</v>
      </c>
      <c r="AF59" s="55"/>
      <c r="AG59" s="55">
        <v>290826.87134760001</v>
      </c>
      <c r="AH59" s="55">
        <v>0</v>
      </c>
      <c r="AI59" s="55">
        <v>0</v>
      </c>
      <c r="AJ59" s="55">
        <v>0</v>
      </c>
      <c r="AK59" s="55">
        <v>0</v>
      </c>
      <c r="AL59" s="55">
        <v>0</v>
      </c>
      <c r="AM59" s="55">
        <v>2233947.6464</v>
      </c>
      <c r="AN59" s="63">
        <v>197261.1992</v>
      </c>
      <c r="AO59" s="64">
        <v>370111.09699216002</v>
      </c>
      <c r="AP59" s="61">
        <f>+N59-'Приложение №2'!E59</f>
        <v>0</v>
      </c>
      <c r="AQ59" s="1">
        <v>1726106.62</v>
      </c>
      <c r="AR59" s="3">
        <f t="shared" si="26"/>
        <v>350329.2</v>
      </c>
      <c r="AS59" s="3">
        <f t="shared" si="27"/>
        <v>12364560</v>
      </c>
      <c r="AT59" s="6">
        <f t="shared" si="28"/>
        <v>-6087804.6709129801</v>
      </c>
      <c r="AW59" s="62">
        <f t="shared" si="22"/>
        <v>7296497.5090870196</v>
      </c>
      <c r="AX59" s="55">
        <v>3493966.86</v>
      </c>
      <c r="AY59" s="55">
        <v>2141042.75</v>
      </c>
      <c r="AZ59" s="55"/>
      <c r="BA59" s="55">
        <v>1393455.49</v>
      </c>
      <c r="BB59" s="55"/>
      <c r="BC59" s="55"/>
      <c r="BD59" s="55"/>
      <c r="BE59" s="55">
        <v>0</v>
      </c>
      <c r="BF59" s="55">
        <v>0</v>
      </c>
      <c r="BG59" s="55">
        <v>0</v>
      </c>
      <c r="BH59" s="55">
        <v>0</v>
      </c>
      <c r="BI59" s="55">
        <v>0</v>
      </c>
      <c r="BJ59" s="55"/>
      <c r="BK59" s="63"/>
      <c r="BL59" s="64">
        <v>268032.40908701997</v>
      </c>
      <c r="BM59" s="8">
        <f t="shared" si="23"/>
        <v>7296497.5090870196</v>
      </c>
      <c r="BN59" s="55">
        <v>3493966.86</v>
      </c>
      <c r="BO59" s="55">
        <v>2141042.75</v>
      </c>
      <c r="BP59" s="55"/>
      <c r="BQ59" s="55">
        <v>1393455.49</v>
      </c>
      <c r="BR59" s="55"/>
      <c r="BS59" s="55"/>
      <c r="BT59" s="55"/>
      <c r="BU59" s="55">
        <v>0</v>
      </c>
      <c r="BV59" s="55">
        <v>0</v>
      </c>
      <c r="BW59" s="55">
        <v>0</v>
      </c>
      <c r="BX59" s="55">
        <v>0</v>
      </c>
      <c r="BY59" s="55">
        <v>0</v>
      </c>
      <c r="BZ59" s="55"/>
      <c r="CA59" s="63"/>
      <c r="CB59" s="64">
        <v>268032.40908701997</v>
      </c>
    </row>
    <row r="60" spans="1:80" x14ac:dyDescent="0.25">
      <c r="A60" s="52">
        <f t="shared" si="24"/>
        <v>43</v>
      </c>
      <c r="B60" s="53">
        <f t="shared" si="25"/>
        <v>43</v>
      </c>
      <c r="C60" s="53" t="s">
        <v>108</v>
      </c>
      <c r="D60" s="53" t="s">
        <v>114</v>
      </c>
      <c r="E60" s="54">
        <v>1986</v>
      </c>
      <c r="F60" s="54">
        <v>2013</v>
      </c>
      <c r="G60" s="54" t="s">
        <v>64</v>
      </c>
      <c r="H60" s="54">
        <v>4</v>
      </c>
      <c r="I60" s="54">
        <v>2</v>
      </c>
      <c r="J60" s="55">
        <v>3830.7</v>
      </c>
      <c r="K60" s="55">
        <v>3476.2</v>
      </c>
      <c r="L60" s="55">
        <v>0</v>
      </c>
      <c r="M60" s="56">
        <v>146</v>
      </c>
      <c r="N60" s="62">
        <v>45900104.497928999</v>
      </c>
      <c r="O60" s="55"/>
      <c r="P60" s="63">
        <v>2555439.3199999998</v>
      </c>
      <c r="Q60" s="63"/>
      <c r="R60" s="63">
        <v>1738606.72</v>
      </c>
      <c r="S60" s="63">
        <v>13373245.48</v>
      </c>
      <c r="T60" s="55">
        <v>28232812.977929</v>
      </c>
      <c r="U60" s="63">
        <v>13204.1034744632</v>
      </c>
      <c r="V60" s="63">
        <v>13204.1034744632</v>
      </c>
      <c r="W60" s="59">
        <v>2022</v>
      </c>
      <c r="X60" s="6" t="e">
        <v>#REF!</v>
      </c>
      <c r="Z60" s="62">
        <f t="shared" si="21"/>
        <v>63545858.420000024</v>
      </c>
      <c r="AA60" s="55">
        <v>5818965.56459946</v>
      </c>
      <c r="AB60" s="55">
        <v>3365266.8627295201</v>
      </c>
      <c r="AC60" s="55">
        <v>3557336.2493503802</v>
      </c>
      <c r="AD60" s="55">
        <v>2712499.1287925998</v>
      </c>
      <c r="AE60" s="55">
        <v>1083587.87912004</v>
      </c>
      <c r="AF60" s="55"/>
      <c r="AG60" s="55">
        <v>289142.86613099999</v>
      </c>
      <c r="AH60" s="55">
        <v>0</v>
      </c>
      <c r="AI60" s="55">
        <v>10358644.6581282</v>
      </c>
      <c r="AJ60" s="55">
        <v>0</v>
      </c>
      <c r="AK60" s="55">
        <v>20111367.361018099</v>
      </c>
      <c r="AL60" s="55">
        <v>7909542.8401185004</v>
      </c>
      <c r="AM60" s="55">
        <v>6496795.2884999998</v>
      </c>
      <c r="AN60" s="63">
        <v>635458.58420000004</v>
      </c>
      <c r="AO60" s="64">
        <v>1207251.1373122199</v>
      </c>
      <c r="AP60" s="61">
        <f>+N60-'Приложение №2'!E60</f>
        <v>0</v>
      </c>
      <c r="AQ60" s="1">
        <f>1393126.98-102965.87</f>
        <v>1290161.1099999999</v>
      </c>
      <c r="AR60" s="3">
        <f t="shared" si="26"/>
        <v>354572.39999999997</v>
      </c>
      <c r="AS60" s="3">
        <f t="shared" si="27"/>
        <v>12514320</v>
      </c>
      <c r="AT60" s="6">
        <f t="shared" si="28"/>
        <v>858925.48000000045</v>
      </c>
      <c r="AW60" s="62">
        <f t="shared" si="22"/>
        <v>45900104.497929007</v>
      </c>
      <c r="AX60" s="55">
        <v>5399356.9199999999</v>
      </c>
      <c r="AY60" s="55"/>
      <c r="AZ60" s="55">
        <v>2387945.1800000002</v>
      </c>
      <c r="BA60" s="55">
        <v>2433472.6800000002</v>
      </c>
      <c r="BB60" s="55"/>
      <c r="BC60" s="55"/>
      <c r="BD60" s="55"/>
      <c r="BE60" s="55">
        <v>0</v>
      </c>
      <c r="BF60" s="55">
        <v>11379650.75</v>
      </c>
      <c r="BG60" s="55">
        <v>0</v>
      </c>
      <c r="BH60" s="55">
        <v>18883188.84</v>
      </c>
      <c r="BI60" s="55">
        <v>3776525.81</v>
      </c>
      <c r="BJ60" s="55">
        <v>276792.45750000002</v>
      </c>
      <c r="BK60" s="63">
        <v>44508.167500000003</v>
      </c>
      <c r="BL60" s="64">
        <v>1318663.6929289999</v>
      </c>
      <c r="BM60" s="8">
        <f t="shared" si="23"/>
        <v>45900104.497929007</v>
      </c>
      <c r="BN60" s="55">
        <v>5399356.9199999999</v>
      </c>
      <c r="BO60" s="55"/>
      <c r="BP60" s="55">
        <v>2387945.1800000002</v>
      </c>
      <c r="BQ60" s="55">
        <v>2433472.6800000002</v>
      </c>
      <c r="BR60" s="55"/>
      <c r="BS60" s="55"/>
      <c r="BT60" s="55"/>
      <c r="BU60" s="55">
        <v>0</v>
      </c>
      <c r="BV60" s="55">
        <v>11379650.75</v>
      </c>
      <c r="BW60" s="55">
        <v>0</v>
      </c>
      <c r="BX60" s="55">
        <v>18883188.84</v>
      </c>
      <c r="BY60" s="55">
        <v>3776525.81</v>
      </c>
      <c r="BZ60" s="55">
        <v>276792.45750000002</v>
      </c>
      <c r="CA60" s="63">
        <v>44508.167500000003</v>
      </c>
      <c r="CB60" s="64">
        <v>1318663.6929289999</v>
      </c>
    </row>
    <row r="61" spans="1:80" x14ac:dyDescent="0.25">
      <c r="A61" s="52">
        <f t="shared" si="24"/>
        <v>44</v>
      </c>
      <c r="B61" s="53">
        <f t="shared" si="25"/>
        <v>44</v>
      </c>
      <c r="C61" s="53" t="s">
        <v>108</v>
      </c>
      <c r="D61" s="53" t="s">
        <v>115</v>
      </c>
      <c r="E61" s="54">
        <v>1991</v>
      </c>
      <c r="F61" s="54">
        <v>1991</v>
      </c>
      <c r="G61" s="54" t="s">
        <v>64</v>
      </c>
      <c r="H61" s="54">
        <v>2</v>
      </c>
      <c r="I61" s="54">
        <v>2</v>
      </c>
      <c r="J61" s="55">
        <v>704.8</v>
      </c>
      <c r="K61" s="55">
        <v>502.8</v>
      </c>
      <c r="L61" s="55">
        <v>0</v>
      </c>
      <c r="M61" s="56">
        <v>51</v>
      </c>
      <c r="N61" s="62">
        <v>9358782.4640582092</v>
      </c>
      <c r="O61" s="55"/>
      <c r="P61" s="63">
        <v>6547481.0700000003</v>
      </c>
      <c r="Q61" s="63"/>
      <c r="R61" s="63">
        <v>231480.48</v>
      </c>
      <c r="S61" s="63">
        <v>2579820.9140582099</v>
      </c>
      <c r="T61" s="55">
        <v>0</v>
      </c>
      <c r="U61" s="63">
        <v>18613.330278556499</v>
      </c>
      <c r="V61" s="63">
        <v>18613.330278556499</v>
      </c>
      <c r="W61" s="59">
        <v>2022</v>
      </c>
      <c r="X61" s="6" t="e">
        <v>#REF!</v>
      </c>
      <c r="Z61" s="62">
        <f t="shared" si="21"/>
        <v>10159649.210588206</v>
      </c>
      <c r="AA61" s="55">
        <v>1119793.79</v>
      </c>
      <c r="AB61" s="55">
        <v>0</v>
      </c>
      <c r="AC61" s="55">
        <v>319144.83</v>
      </c>
      <c r="AD61" s="55">
        <v>0</v>
      </c>
      <c r="AE61" s="55">
        <v>0</v>
      </c>
      <c r="AF61" s="55"/>
      <c r="AG61" s="55">
        <v>51441.136530000003</v>
      </c>
      <c r="AH61" s="55">
        <v>0</v>
      </c>
      <c r="AI61" s="55">
        <v>3034353.13</v>
      </c>
      <c r="AJ61" s="55">
        <v>0</v>
      </c>
      <c r="AK61" s="55">
        <v>3213076.97</v>
      </c>
      <c r="AL61" s="55">
        <v>2003686.6</v>
      </c>
      <c r="AM61" s="55">
        <v>222088.61</v>
      </c>
      <c r="AN61" s="55">
        <v>64189.444058208501</v>
      </c>
      <c r="AO61" s="64">
        <v>131874.70000000001</v>
      </c>
      <c r="AP61" s="61">
        <f>+N61-'Приложение №2'!E61</f>
        <v>0</v>
      </c>
      <c r="AQ61" s="1">
        <v>180194.88</v>
      </c>
      <c r="AR61" s="3">
        <f t="shared" si="26"/>
        <v>51285.599999999999</v>
      </c>
      <c r="AS61" s="3">
        <f t="shared" si="27"/>
        <v>1810080</v>
      </c>
      <c r="AT61" s="6">
        <f t="shared" si="28"/>
        <v>769740.91405820986</v>
      </c>
      <c r="AW61" s="62">
        <f t="shared" si="22"/>
        <v>9358782.4640582055</v>
      </c>
      <c r="AX61" s="55">
        <v>1114194.82</v>
      </c>
      <c r="AY61" s="55">
        <v>0</v>
      </c>
      <c r="AZ61" s="55">
        <v>325054.98</v>
      </c>
      <c r="BA61" s="55">
        <v>0</v>
      </c>
      <c r="BB61" s="55">
        <v>0</v>
      </c>
      <c r="BC61" s="55"/>
      <c r="BD61" s="55"/>
      <c r="BE61" s="55">
        <v>0</v>
      </c>
      <c r="BF61" s="55">
        <v>2410884.9500000002</v>
      </c>
      <c r="BG61" s="55">
        <v>0</v>
      </c>
      <c r="BH61" s="55">
        <v>2965969.93</v>
      </c>
      <c r="BI61" s="55">
        <v>2124525.0299999998</v>
      </c>
      <c r="BJ61" s="55">
        <v>222088.61</v>
      </c>
      <c r="BK61" s="55">
        <f>64189.4440582085</f>
        <v>64189.444058208501</v>
      </c>
      <c r="BL61" s="64">
        <v>131874.70000000001</v>
      </c>
      <c r="BM61" s="8">
        <f t="shared" si="23"/>
        <v>9358782.4640582055</v>
      </c>
      <c r="BN61" s="55">
        <v>1114194.82</v>
      </c>
      <c r="BO61" s="55">
        <v>0</v>
      </c>
      <c r="BP61" s="55">
        <v>325054.98</v>
      </c>
      <c r="BQ61" s="55">
        <v>0</v>
      </c>
      <c r="BR61" s="55">
        <v>0</v>
      </c>
      <c r="BS61" s="55"/>
      <c r="BT61" s="55"/>
      <c r="BU61" s="55">
        <v>0</v>
      </c>
      <c r="BV61" s="55">
        <v>2410884.9500000002</v>
      </c>
      <c r="BW61" s="55">
        <v>0</v>
      </c>
      <c r="BX61" s="55">
        <v>2965969.93</v>
      </c>
      <c r="BY61" s="55">
        <v>2124525.0299999998</v>
      </c>
      <c r="BZ61" s="55">
        <v>222088.61</v>
      </c>
      <c r="CA61" s="55">
        <f>64189.4440582085</f>
        <v>64189.444058208501</v>
      </c>
      <c r="CB61" s="64">
        <v>131874.70000000001</v>
      </c>
    </row>
    <row r="62" spans="1:80" x14ac:dyDescent="0.25">
      <c r="A62" s="52">
        <f t="shared" si="24"/>
        <v>45</v>
      </c>
      <c r="B62" s="53">
        <f t="shared" si="25"/>
        <v>45</v>
      </c>
      <c r="C62" s="53" t="s">
        <v>108</v>
      </c>
      <c r="D62" s="53" t="s">
        <v>116</v>
      </c>
      <c r="E62" s="54">
        <v>1985</v>
      </c>
      <c r="F62" s="54">
        <v>1985</v>
      </c>
      <c r="G62" s="54" t="s">
        <v>64</v>
      </c>
      <c r="H62" s="54">
        <v>2</v>
      </c>
      <c r="I62" s="54">
        <v>2</v>
      </c>
      <c r="J62" s="55">
        <v>687.7</v>
      </c>
      <c r="K62" s="55">
        <v>539.6</v>
      </c>
      <c r="L62" s="55">
        <v>0</v>
      </c>
      <c r="M62" s="56">
        <v>34</v>
      </c>
      <c r="N62" s="62">
        <v>495705.70943093998</v>
      </c>
      <c r="O62" s="58"/>
      <c r="P62" s="63"/>
      <c r="Q62" s="63"/>
      <c r="R62" s="63">
        <v>238828.54</v>
      </c>
      <c r="S62" s="63">
        <v>256877.16943094</v>
      </c>
      <c r="T62" s="55">
        <v>0</v>
      </c>
      <c r="U62" s="63">
        <v>918.65402044280904</v>
      </c>
      <c r="V62" s="63">
        <v>918.65402044280904</v>
      </c>
      <c r="W62" s="59">
        <v>2022</v>
      </c>
      <c r="X62" s="6" t="e">
        <v>#REF!</v>
      </c>
      <c r="Z62" s="62">
        <f t="shared" si="21"/>
        <v>10532880.890000001</v>
      </c>
      <c r="AA62" s="55">
        <v>0</v>
      </c>
      <c r="AB62" s="55">
        <v>0</v>
      </c>
      <c r="AC62" s="55">
        <v>539214.05775005999</v>
      </c>
      <c r="AD62" s="55">
        <v>0</v>
      </c>
      <c r="AE62" s="55">
        <v>0</v>
      </c>
      <c r="AF62" s="55"/>
      <c r="AG62" s="55">
        <v>0</v>
      </c>
      <c r="AH62" s="55">
        <v>0</v>
      </c>
      <c r="AI62" s="55">
        <v>0</v>
      </c>
      <c r="AJ62" s="55">
        <v>0</v>
      </c>
      <c r="AK62" s="55">
        <v>4448331.6324917404</v>
      </c>
      <c r="AL62" s="55">
        <v>4186109.0524272602</v>
      </c>
      <c r="AM62" s="55">
        <v>1053288.0889999999</v>
      </c>
      <c r="AN62" s="63">
        <v>105328.8089</v>
      </c>
      <c r="AO62" s="64">
        <v>200609.24943093999</v>
      </c>
      <c r="AP62" s="61">
        <f>+N62-'Приложение №2'!E62</f>
        <v>0</v>
      </c>
      <c r="AQ62" s="1">
        <v>183789.34</v>
      </c>
      <c r="AR62" s="3">
        <f t="shared" si="26"/>
        <v>55039.199999999997</v>
      </c>
      <c r="AS62" s="3">
        <f t="shared" si="27"/>
        <v>1942560</v>
      </c>
      <c r="AT62" s="6">
        <f t="shared" si="28"/>
        <v>-1685682.8305690601</v>
      </c>
      <c r="AW62" s="62">
        <f t="shared" si="22"/>
        <v>495705.70943093998</v>
      </c>
      <c r="AX62" s="55">
        <v>0</v>
      </c>
      <c r="AY62" s="55">
        <v>0</v>
      </c>
      <c r="AZ62" s="55">
        <v>295096.46000000002</v>
      </c>
      <c r="BA62" s="55">
        <v>0</v>
      </c>
      <c r="BB62" s="55">
        <v>0</v>
      </c>
      <c r="BC62" s="55"/>
      <c r="BD62" s="55"/>
      <c r="BE62" s="55">
        <v>0</v>
      </c>
      <c r="BF62" s="55">
        <v>0</v>
      </c>
      <c r="BG62" s="55">
        <v>0</v>
      </c>
      <c r="BH62" s="55"/>
      <c r="BI62" s="55"/>
      <c r="BJ62" s="55"/>
      <c r="BK62" s="63"/>
      <c r="BL62" s="64">
        <v>200609.24943093999</v>
      </c>
      <c r="BM62" s="8">
        <f t="shared" si="23"/>
        <v>495705.70943093998</v>
      </c>
      <c r="BN62" s="55">
        <v>0</v>
      </c>
      <c r="BO62" s="55">
        <v>0</v>
      </c>
      <c r="BP62" s="55">
        <v>295096.46000000002</v>
      </c>
      <c r="BQ62" s="55">
        <v>0</v>
      </c>
      <c r="BR62" s="55">
        <v>0</v>
      </c>
      <c r="BS62" s="55"/>
      <c r="BT62" s="55"/>
      <c r="BU62" s="55">
        <v>0</v>
      </c>
      <c r="BV62" s="55">
        <v>0</v>
      </c>
      <c r="BW62" s="55">
        <v>0</v>
      </c>
      <c r="BX62" s="55"/>
      <c r="BY62" s="55"/>
      <c r="BZ62" s="55"/>
      <c r="CA62" s="63"/>
      <c r="CB62" s="64">
        <v>200609.24943093999</v>
      </c>
    </row>
    <row r="63" spans="1:80" x14ac:dyDescent="0.25">
      <c r="A63" s="52">
        <f t="shared" si="24"/>
        <v>46</v>
      </c>
      <c r="B63" s="53">
        <f t="shared" si="25"/>
        <v>46</v>
      </c>
      <c r="C63" s="53" t="s">
        <v>108</v>
      </c>
      <c r="D63" s="53" t="s">
        <v>117</v>
      </c>
      <c r="E63" s="54">
        <v>1986</v>
      </c>
      <c r="F63" s="54">
        <v>1986</v>
      </c>
      <c r="G63" s="54" t="s">
        <v>64</v>
      </c>
      <c r="H63" s="54">
        <v>2</v>
      </c>
      <c r="I63" s="54">
        <v>2</v>
      </c>
      <c r="J63" s="55">
        <v>683.3</v>
      </c>
      <c r="K63" s="55">
        <v>610.4</v>
      </c>
      <c r="L63" s="55">
        <v>0</v>
      </c>
      <c r="M63" s="56">
        <v>44</v>
      </c>
      <c r="N63" s="62">
        <v>295096.46000000002</v>
      </c>
      <c r="O63" s="58"/>
      <c r="P63" s="63"/>
      <c r="Q63" s="63"/>
      <c r="R63" s="63">
        <v>265705.23</v>
      </c>
      <c r="S63" s="63">
        <v>29391.23</v>
      </c>
      <c r="T63" s="55">
        <v>0</v>
      </c>
      <c r="U63" s="63">
        <v>483.44767365661897</v>
      </c>
      <c r="V63" s="63">
        <v>483.44767365661897</v>
      </c>
      <c r="W63" s="59">
        <v>2022</v>
      </c>
      <c r="X63" s="6" t="e">
        <v>#REF!</v>
      </c>
      <c r="Z63" s="62">
        <f t="shared" si="21"/>
        <v>7665708.8647758998</v>
      </c>
      <c r="AA63" s="55">
        <v>0</v>
      </c>
      <c r="AB63" s="55">
        <v>0</v>
      </c>
      <c r="AC63" s="55">
        <v>534819.48515226005</v>
      </c>
      <c r="AD63" s="55">
        <v>0</v>
      </c>
      <c r="AE63" s="55">
        <v>0</v>
      </c>
      <c r="AF63" s="55"/>
      <c r="AG63" s="55">
        <v>0</v>
      </c>
      <c r="AH63" s="55">
        <v>0</v>
      </c>
      <c r="AI63" s="55">
        <v>0</v>
      </c>
      <c r="AJ63" s="55">
        <v>0</v>
      </c>
      <c r="AK63" s="55">
        <v>2395084.1800000002</v>
      </c>
      <c r="AL63" s="55">
        <v>3387656.69</v>
      </c>
      <c r="AM63" s="55">
        <v>1044703.834</v>
      </c>
      <c r="AN63" s="63">
        <v>104470.38340000001</v>
      </c>
      <c r="AO63" s="64">
        <v>198974.29222363999</v>
      </c>
      <c r="AP63" s="61">
        <f>+N63-'Приложение №2'!E63</f>
        <v>0</v>
      </c>
      <c r="AQ63" s="1">
        <v>203638.23</v>
      </c>
      <c r="AR63" s="3">
        <f t="shared" si="26"/>
        <v>62260.799999999996</v>
      </c>
      <c r="AS63" s="3">
        <f>+(K63*10+L63*20)*12*30-656415.36</f>
        <v>1541024.6400000001</v>
      </c>
      <c r="AT63" s="6">
        <f t="shared" si="28"/>
        <v>-1511633.4100000001</v>
      </c>
      <c r="AW63" s="62">
        <f t="shared" si="22"/>
        <v>295096.46000000002</v>
      </c>
      <c r="AX63" s="55">
        <v>0</v>
      </c>
      <c r="AY63" s="55">
        <v>0</v>
      </c>
      <c r="AZ63" s="55">
        <v>295096.46000000002</v>
      </c>
      <c r="BA63" s="55">
        <v>0</v>
      </c>
      <c r="BB63" s="55">
        <v>0</v>
      </c>
      <c r="BC63" s="55"/>
      <c r="BD63" s="55"/>
      <c r="BE63" s="55">
        <v>0</v>
      </c>
      <c r="BF63" s="55">
        <v>0</v>
      </c>
      <c r="BG63" s="55">
        <v>0</v>
      </c>
      <c r="BH63" s="55"/>
      <c r="BI63" s="55"/>
      <c r="BJ63" s="55"/>
      <c r="BK63" s="63"/>
      <c r="BL63" s="64"/>
      <c r="BM63" s="8">
        <f t="shared" si="23"/>
        <v>295096.46000000002</v>
      </c>
      <c r="BN63" s="55">
        <v>0</v>
      </c>
      <c r="BO63" s="55">
        <v>0</v>
      </c>
      <c r="BP63" s="55">
        <v>295096.46000000002</v>
      </c>
      <c r="BQ63" s="55">
        <v>0</v>
      </c>
      <c r="BR63" s="55">
        <v>0</v>
      </c>
      <c r="BS63" s="55"/>
      <c r="BT63" s="55"/>
      <c r="BU63" s="55">
        <v>0</v>
      </c>
      <c r="BV63" s="55">
        <v>0</v>
      </c>
      <c r="BW63" s="55">
        <v>0</v>
      </c>
      <c r="BX63" s="55"/>
      <c r="BY63" s="55"/>
      <c r="BZ63" s="55"/>
      <c r="CA63" s="63"/>
      <c r="CB63" s="64"/>
    </row>
    <row r="64" spans="1:80" x14ac:dyDescent="0.25">
      <c r="A64" s="52">
        <f t="shared" si="24"/>
        <v>47</v>
      </c>
      <c r="B64" s="53">
        <f t="shared" si="25"/>
        <v>47</v>
      </c>
      <c r="C64" s="53" t="s">
        <v>108</v>
      </c>
      <c r="D64" s="53" t="s">
        <v>118</v>
      </c>
      <c r="E64" s="54">
        <v>1981</v>
      </c>
      <c r="F64" s="54">
        <v>2013</v>
      </c>
      <c r="G64" s="54" t="s">
        <v>64</v>
      </c>
      <c r="H64" s="54">
        <v>5</v>
      </c>
      <c r="I64" s="54">
        <v>4</v>
      </c>
      <c r="J64" s="55">
        <v>4685.6000000000004</v>
      </c>
      <c r="K64" s="55">
        <v>4258.2</v>
      </c>
      <c r="L64" s="55">
        <v>0</v>
      </c>
      <c r="M64" s="56">
        <v>196</v>
      </c>
      <c r="N64" s="62">
        <v>20563603.904344101</v>
      </c>
      <c r="O64" s="55"/>
      <c r="P64" s="63">
        <v>5434056.3399999999</v>
      </c>
      <c r="Q64" s="63"/>
      <c r="R64" s="63">
        <v>1556339.86</v>
      </c>
      <c r="S64" s="63">
        <v>8960527.3300000001</v>
      </c>
      <c r="T64" s="55">
        <v>4612680.3743440798</v>
      </c>
      <c r="U64" s="63">
        <v>4829.1775643098199</v>
      </c>
      <c r="V64" s="63">
        <v>4829.1775643098199</v>
      </c>
      <c r="W64" s="59">
        <v>2022</v>
      </c>
      <c r="X64" s="6" t="e">
        <v>#REF!</v>
      </c>
      <c r="Z64" s="62">
        <f t="shared" si="21"/>
        <v>53162190.114960857</v>
      </c>
      <c r="AA64" s="55">
        <v>7102961.0915554203</v>
      </c>
      <c r="AB64" s="55"/>
      <c r="AD64" s="55"/>
      <c r="AE64" s="55">
        <v>1322689.13658126</v>
      </c>
      <c r="AF64" s="55"/>
      <c r="AG64" s="55">
        <v>352944.26574120001</v>
      </c>
      <c r="AH64" s="55">
        <v>0</v>
      </c>
      <c r="AI64" s="55"/>
      <c r="AJ64" s="55">
        <v>0</v>
      </c>
      <c r="AK64" s="55">
        <v>24549081.498129699</v>
      </c>
      <c r="AL64" s="55">
        <v>9654838.8947262</v>
      </c>
      <c r="AM64" s="55">
        <v>7930358.6941</v>
      </c>
      <c r="AN64" s="63">
        <v>775676.97369999997</v>
      </c>
      <c r="AO64" s="64">
        <v>1473639.5604270799</v>
      </c>
      <c r="AP64" s="61">
        <f>+N64-'Приложение №2'!E64</f>
        <v>0</v>
      </c>
      <c r="AQ64" s="1">
        <f>1979236.76-807117.21-50116.09</f>
        <v>1122003.46</v>
      </c>
      <c r="AR64" s="3">
        <f t="shared" si="26"/>
        <v>434336.39999999997</v>
      </c>
      <c r="AS64" s="3">
        <f>+(K64*10+L64*20)*12*30-6222132.17-133900.5</f>
        <v>8973487.3300000001</v>
      </c>
      <c r="AT64" s="6">
        <f t="shared" si="28"/>
        <v>-12960</v>
      </c>
      <c r="AW64" s="62">
        <f t="shared" si="22"/>
        <v>20563603.904344082</v>
      </c>
      <c r="AX64" s="7"/>
      <c r="AY64" s="55"/>
      <c r="BA64" s="55"/>
      <c r="BB64" s="55"/>
      <c r="BC64" s="55"/>
      <c r="BD64" s="55"/>
      <c r="BE64" s="55">
        <v>0</v>
      </c>
      <c r="BF64" s="55"/>
      <c r="BG64" s="55">
        <v>0</v>
      </c>
      <c r="BH64" s="55">
        <v>13315014.15</v>
      </c>
      <c r="BI64" s="55">
        <v>6316602.7000000002</v>
      </c>
      <c r="BJ64" s="55">
        <v>184016.59</v>
      </c>
      <c r="BK64" s="63"/>
      <c r="BL64" s="64">
        <v>747970.46434407996</v>
      </c>
      <c r="BM64" s="8">
        <f t="shared" si="23"/>
        <v>20563603.904344082</v>
      </c>
      <c r="BN64" s="7"/>
      <c r="BO64" s="55"/>
      <c r="BQ64" s="55"/>
      <c r="BR64" s="55"/>
      <c r="BS64" s="55"/>
      <c r="BT64" s="55"/>
      <c r="BU64" s="55">
        <v>0</v>
      </c>
      <c r="BV64" s="55"/>
      <c r="BW64" s="55">
        <v>0</v>
      </c>
      <c r="BX64" s="55">
        <v>13315014.15</v>
      </c>
      <c r="BY64" s="55">
        <v>6316602.7000000002</v>
      </c>
      <c r="BZ64" s="55">
        <v>184016.59</v>
      </c>
      <c r="CA64" s="63"/>
      <c r="CB64" s="64">
        <v>747970.46434407996</v>
      </c>
    </row>
    <row r="65" spans="1:80" x14ac:dyDescent="0.25">
      <c r="A65" s="52">
        <f t="shared" si="24"/>
        <v>48</v>
      </c>
      <c r="B65" s="53">
        <f t="shared" si="25"/>
        <v>48</v>
      </c>
      <c r="C65" s="53" t="s">
        <v>108</v>
      </c>
      <c r="D65" s="53" t="s">
        <v>119</v>
      </c>
      <c r="E65" s="54">
        <v>1963</v>
      </c>
      <c r="F65" s="54">
        <v>2013</v>
      </c>
      <c r="G65" s="54" t="s">
        <v>64</v>
      </c>
      <c r="H65" s="54">
        <v>4</v>
      </c>
      <c r="I65" s="54">
        <v>4</v>
      </c>
      <c r="J65" s="55">
        <v>5268.75</v>
      </c>
      <c r="K65" s="55">
        <v>3170.15</v>
      </c>
      <c r="L65" s="55">
        <v>2098.6</v>
      </c>
      <c r="M65" s="56">
        <v>92</v>
      </c>
      <c r="N65" s="62">
        <v>26746433.920308001</v>
      </c>
      <c r="O65" s="55"/>
      <c r="P65" s="63">
        <v>1562915.71</v>
      </c>
      <c r="Q65" s="63"/>
      <c r="R65" s="63">
        <v>3803443.11</v>
      </c>
      <c r="S65" s="63">
        <v>12513319.670307999</v>
      </c>
      <c r="T65" s="55">
        <v>8866755.4299999997</v>
      </c>
      <c r="U65" s="63">
        <v>5076.4287393229897</v>
      </c>
      <c r="V65" s="63">
        <v>5076.4287393229897</v>
      </c>
      <c r="W65" s="59">
        <v>2022</v>
      </c>
      <c r="X65" s="6" t="e">
        <v>#REF!</v>
      </c>
      <c r="Z65" s="62">
        <f t="shared" si="21"/>
        <v>55905524.456026606</v>
      </c>
      <c r="AA65" s="55">
        <v>8910375.13096359</v>
      </c>
      <c r="AB65" s="55">
        <v>3183729.7650160301</v>
      </c>
      <c r="AC65" s="55">
        <v>3374754.2381990599</v>
      </c>
      <c r="AD65" s="55">
        <v>2149419.79800305</v>
      </c>
      <c r="AE65" s="55">
        <v>1581654.1276199999</v>
      </c>
      <c r="AF65" s="55"/>
      <c r="AG65" s="55">
        <v>320562.32128199999</v>
      </c>
      <c r="AH65" s="55">
        <v>0</v>
      </c>
      <c r="AI65" s="55">
        <v>16307858.9365629</v>
      </c>
      <c r="AJ65" s="55">
        <v>0</v>
      </c>
      <c r="AK65" s="55">
        <v>8424086.4921022002</v>
      </c>
      <c r="AL65" s="55">
        <v>9161049.1317717694</v>
      </c>
      <c r="AM65" s="55">
        <v>1263665.5900000001</v>
      </c>
      <c r="AN65" s="55">
        <v>60324.08</v>
      </c>
      <c r="AO65" s="64">
        <v>1168044.8445059999</v>
      </c>
      <c r="AP65" s="61">
        <f>+N65-'Приложение №2'!E65</f>
        <v>0</v>
      </c>
      <c r="AQ65" s="1">
        <v>3051973.41</v>
      </c>
      <c r="AR65" s="3">
        <f t="shared" si="26"/>
        <v>751469.7</v>
      </c>
      <c r="AS65" s="3">
        <f>+(K65*10+L65*20)*12*30</f>
        <v>26522460</v>
      </c>
      <c r="AT65" s="6">
        <f t="shared" si="28"/>
        <v>-14009140.329692001</v>
      </c>
      <c r="AW65" s="62">
        <f t="shared" si="22"/>
        <v>26746433.920307979</v>
      </c>
      <c r="AX65" s="55">
        <v>4769407.0999999996</v>
      </c>
      <c r="AY65" s="55"/>
      <c r="BA65" s="55">
        <v>1031316.84</v>
      </c>
      <c r="BB65" s="55"/>
      <c r="BC65" s="55"/>
      <c r="BD65" s="55"/>
      <c r="BE65" s="55">
        <v>0</v>
      </c>
      <c r="BF65" s="55">
        <v>10189652.140000001</v>
      </c>
      <c r="BG65" s="55">
        <v>0</v>
      </c>
      <c r="BH65" s="55">
        <v>7616799.1900000004</v>
      </c>
      <c r="BI65" s="55">
        <v>787626.31</v>
      </c>
      <c r="BJ65" s="55">
        <v>1118801.88790099</v>
      </c>
      <c r="BK65" s="55">
        <f>64785.607900992</f>
        <v>64785.607900991999</v>
      </c>
      <c r="BL65" s="64">
        <v>1168044.8445059999</v>
      </c>
      <c r="BM65" s="8">
        <f t="shared" si="23"/>
        <v>26746433.920307979</v>
      </c>
      <c r="BN65" s="55">
        <v>4769407.0999999996</v>
      </c>
      <c r="BO65" s="55"/>
      <c r="BQ65" s="55">
        <v>1031316.84</v>
      </c>
      <c r="BR65" s="55"/>
      <c r="BS65" s="55"/>
      <c r="BT65" s="55"/>
      <c r="BU65" s="55">
        <v>0</v>
      </c>
      <c r="BV65" s="55">
        <v>10189652.140000001</v>
      </c>
      <c r="BW65" s="55">
        <v>0</v>
      </c>
      <c r="BX65" s="55">
        <v>7616799.1900000004</v>
      </c>
      <c r="BY65" s="55">
        <v>787626.31</v>
      </c>
      <c r="BZ65" s="55">
        <v>1118801.88790099</v>
      </c>
      <c r="CA65" s="55">
        <f>64785.607900992</f>
        <v>64785.607900991999</v>
      </c>
      <c r="CB65" s="64">
        <v>1168044.8445059999</v>
      </c>
    </row>
    <row r="66" spans="1:80" x14ac:dyDescent="0.25">
      <c r="A66" s="52">
        <f t="shared" si="24"/>
        <v>49</v>
      </c>
      <c r="B66" s="53">
        <f t="shared" si="25"/>
        <v>49</v>
      </c>
      <c r="C66" s="53" t="s">
        <v>108</v>
      </c>
      <c r="D66" s="53" t="s">
        <v>120</v>
      </c>
      <c r="E66" s="54">
        <v>1962</v>
      </c>
      <c r="F66" s="54">
        <v>2013</v>
      </c>
      <c r="G66" s="54" t="s">
        <v>64</v>
      </c>
      <c r="H66" s="54">
        <v>3</v>
      </c>
      <c r="I66" s="54">
        <v>4</v>
      </c>
      <c r="J66" s="55">
        <v>2475.3000000000002</v>
      </c>
      <c r="K66" s="55">
        <v>1760.3</v>
      </c>
      <c r="L66" s="55">
        <v>633.70000000000005</v>
      </c>
      <c r="M66" s="56">
        <v>67</v>
      </c>
      <c r="N66" s="57">
        <v>701860.01140024001</v>
      </c>
      <c r="O66" s="55"/>
      <c r="P66" s="63"/>
      <c r="Q66" s="63"/>
      <c r="R66" s="63">
        <v>701860.01140024001</v>
      </c>
      <c r="S66" s="63">
        <v>0</v>
      </c>
      <c r="T66" s="63">
        <v>0</v>
      </c>
      <c r="U66" s="55">
        <v>293.17460793660803</v>
      </c>
      <c r="V66" s="55">
        <v>293.17460793660803</v>
      </c>
      <c r="W66" s="59">
        <v>2022</v>
      </c>
      <c r="X66" s="6" t="e">
        <v>#REF!</v>
      </c>
      <c r="Z66" s="62">
        <f t="shared" si="21"/>
        <v>42587143.969999999</v>
      </c>
      <c r="AA66" s="55">
        <v>7066614.75374946</v>
      </c>
      <c r="AB66" s="55">
        <v>4299926.4446779201</v>
      </c>
      <c r="AC66" s="55">
        <v>2026161.64019976</v>
      </c>
      <c r="AD66" s="55">
        <v>1726716.820332</v>
      </c>
      <c r="AE66" s="55">
        <v>927837.09472607996</v>
      </c>
      <c r="AF66" s="55"/>
      <c r="AG66" s="55">
        <v>721134.15164699999</v>
      </c>
      <c r="AH66" s="55">
        <v>0</v>
      </c>
      <c r="AI66" s="55">
        <v>20442556.221607801</v>
      </c>
      <c r="AJ66" s="55">
        <v>0</v>
      </c>
      <c r="AK66" s="55">
        <v>0</v>
      </c>
      <c r="AL66" s="55">
        <v>0</v>
      </c>
      <c r="AM66" s="55">
        <v>4136597.3546000002</v>
      </c>
      <c r="AN66" s="63">
        <v>425871.43969999999</v>
      </c>
      <c r="AO66" s="64">
        <v>813728.04875998001</v>
      </c>
      <c r="AP66" s="61">
        <f>+N66-'Приложение №2'!E66</f>
        <v>0</v>
      </c>
      <c r="AQ66" s="1">
        <v>1210415.78</v>
      </c>
      <c r="AR66" s="3">
        <f t="shared" si="26"/>
        <v>308825.39999999997</v>
      </c>
      <c r="AS66" s="3">
        <f>+(K66*10+L66*20)*12*30-4713256</f>
        <v>6186464</v>
      </c>
      <c r="AT66" s="6">
        <f t="shared" si="28"/>
        <v>-6186464</v>
      </c>
      <c r="AW66" s="62">
        <f t="shared" si="22"/>
        <v>701860.01140024001</v>
      </c>
      <c r="AX66" s="55"/>
      <c r="AY66" s="55"/>
      <c r="AZ66" s="55">
        <v>657551.96</v>
      </c>
      <c r="BA66" s="55"/>
      <c r="BB66" s="55"/>
      <c r="BC66" s="55"/>
      <c r="BD66" s="55"/>
      <c r="BE66" s="55">
        <v>0</v>
      </c>
      <c r="BF66" s="55"/>
      <c r="BG66" s="55">
        <v>0</v>
      </c>
      <c r="BH66" s="55">
        <v>0</v>
      </c>
      <c r="BI66" s="55">
        <v>0</v>
      </c>
      <c r="BJ66" s="55"/>
      <c r="BK66" s="63"/>
      <c r="BL66" s="64">
        <v>44308.051400240001</v>
      </c>
      <c r="BM66" s="8">
        <f t="shared" si="23"/>
        <v>701860.01140024001</v>
      </c>
      <c r="BN66" s="55"/>
      <c r="BO66" s="55"/>
      <c r="BP66" s="55">
        <v>657551.96</v>
      </c>
      <c r="BQ66" s="55"/>
      <c r="BR66" s="55"/>
      <c r="BS66" s="55"/>
      <c r="BT66" s="55"/>
      <c r="BU66" s="55">
        <v>0</v>
      </c>
      <c r="BV66" s="55"/>
      <c r="BW66" s="55">
        <v>0</v>
      </c>
      <c r="BX66" s="55">
        <v>0</v>
      </c>
      <c r="BY66" s="55">
        <v>0</v>
      </c>
      <c r="BZ66" s="55"/>
      <c r="CA66" s="63"/>
      <c r="CB66" s="64">
        <v>44308.051400240001</v>
      </c>
    </row>
    <row r="67" spans="1:80" s="69" customFormat="1" x14ac:dyDescent="0.25">
      <c r="A67" s="52">
        <f t="shared" si="24"/>
        <v>50</v>
      </c>
      <c r="B67" s="53">
        <f t="shared" si="25"/>
        <v>50</v>
      </c>
      <c r="C67" s="53" t="s">
        <v>108</v>
      </c>
      <c r="D67" s="53" t="s">
        <v>121</v>
      </c>
      <c r="E67" s="54" t="s">
        <v>122</v>
      </c>
      <c r="F67" s="54"/>
      <c r="G67" s="54" t="s">
        <v>64</v>
      </c>
      <c r="H67" s="54" t="s">
        <v>123</v>
      </c>
      <c r="I67" s="54" t="s">
        <v>102</v>
      </c>
      <c r="J67" s="55">
        <v>6441.2</v>
      </c>
      <c r="K67" s="55">
        <v>4463.1000000000004</v>
      </c>
      <c r="L67" s="55">
        <v>1969.2</v>
      </c>
      <c r="M67" s="56">
        <v>152</v>
      </c>
      <c r="N67" s="62">
        <v>6059622.2357299495</v>
      </c>
      <c r="O67" s="55">
        <v>0</v>
      </c>
      <c r="P67" s="63"/>
      <c r="Q67" s="63">
        <v>0</v>
      </c>
      <c r="R67" s="63">
        <v>5329893.6566000003</v>
      </c>
      <c r="S67" s="63">
        <v>729728.57912995003</v>
      </c>
      <c r="T67" s="55">
        <v>0</v>
      </c>
      <c r="U67" s="63">
        <v>1357.7159901704999</v>
      </c>
      <c r="V67" s="63">
        <v>1172.2830200640001</v>
      </c>
      <c r="W67" s="59">
        <v>2022</v>
      </c>
      <c r="X67" s="69">
        <v>3464637.96</v>
      </c>
      <c r="Y67" s="69">
        <f>+(K67*12.08+L67*20.47)*12</f>
        <v>1130685.264</v>
      </c>
      <c r="AA67" s="70" t="e">
        <v>#REF!</v>
      </c>
      <c r="AD67" s="70" t="e">
        <v>#REF!</v>
      </c>
      <c r="AP67" s="61">
        <f>+N67-'Приложение №2'!E67</f>
        <v>0</v>
      </c>
      <c r="AQ67" s="69">
        <v>4272551.63</v>
      </c>
      <c r="AR67" s="3">
        <f>+(K67*13.29+L67*22.52)*12*0.85</f>
        <v>1057342.0266</v>
      </c>
      <c r="AS67" s="3">
        <f>+(K67*13.29+L67*22.52)*12*30</f>
        <v>37317953.880000003</v>
      </c>
      <c r="AT67" s="6">
        <f t="shared" si="28"/>
        <v>-36588225.300870053</v>
      </c>
      <c r="AW67" s="62">
        <f t="shared" si="22"/>
        <v>6059622.2357299514</v>
      </c>
      <c r="AX67" s="62"/>
      <c r="AY67" s="62"/>
      <c r="AZ67" s="62"/>
      <c r="BA67" s="62"/>
      <c r="BB67" s="62"/>
      <c r="BC67" s="62"/>
      <c r="BD67" s="62"/>
      <c r="BE67" s="62">
        <v>5738993.2800000003</v>
      </c>
      <c r="BF67" s="62"/>
      <c r="BG67" s="62"/>
      <c r="BH67" s="62"/>
      <c r="BI67" s="62"/>
      <c r="BJ67" s="62">
        <v>146568.92267520001</v>
      </c>
      <c r="BK67" s="62">
        <v>24000</v>
      </c>
      <c r="BL67" s="62">
        <v>150060.03305475099</v>
      </c>
      <c r="BM67" s="8">
        <f t="shared" si="23"/>
        <v>6059622.2357299514</v>
      </c>
      <c r="BN67" s="62"/>
      <c r="BO67" s="62"/>
      <c r="BP67" s="62"/>
      <c r="BQ67" s="62"/>
      <c r="BR67" s="62"/>
      <c r="BS67" s="62"/>
      <c r="BT67" s="62"/>
      <c r="BU67" s="62">
        <v>5738993.2800000003</v>
      </c>
      <c r="BV67" s="62"/>
      <c r="BW67" s="62"/>
      <c r="BX67" s="62"/>
      <c r="BY67" s="62"/>
      <c r="BZ67" s="62">
        <v>146568.92267520001</v>
      </c>
      <c r="CA67" s="62">
        <v>24000</v>
      </c>
      <c r="CB67" s="62">
        <v>150060.03305475099</v>
      </c>
    </row>
    <row r="68" spans="1:80" s="69" customFormat="1" x14ac:dyDescent="0.25">
      <c r="A68" s="52">
        <f t="shared" si="24"/>
        <v>51</v>
      </c>
      <c r="B68" s="53">
        <f t="shared" si="25"/>
        <v>51</v>
      </c>
      <c r="C68" s="53" t="s">
        <v>108</v>
      </c>
      <c r="D68" s="53" t="s">
        <v>124</v>
      </c>
      <c r="E68" s="54" t="s">
        <v>122</v>
      </c>
      <c r="F68" s="54"/>
      <c r="G68" s="54" t="s">
        <v>64</v>
      </c>
      <c r="H68" s="54" t="s">
        <v>125</v>
      </c>
      <c r="I68" s="54" t="s">
        <v>102</v>
      </c>
      <c r="J68" s="55">
        <v>5186.3599999999997</v>
      </c>
      <c r="K68" s="55">
        <v>4076.7</v>
      </c>
      <c r="L68" s="55">
        <v>540.4</v>
      </c>
      <c r="M68" s="56">
        <v>130</v>
      </c>
      <c r="N68" s="62">
        <v>6048926.2934416505</v>
      </c>
      <c r="O68" s="55">
        <v>0</v>
      </c>
      <c r="P68" s="63"/>
      <c r="Q68" s="63">
        <v>0</v>
      </c>
      <c r="R68" s="63">
        <v>3933138.0602000002</v>
      </c>
      <c r="S68" s="63">
        <v>2115788.2332416498</v>
      </c>
      <c r="T68" s="55">
        <v>0</v>
      </c>
      <c r="U68" s="63">
        <v>1483.78009013213</v>
      </c>
      <c r="V68" s="63">
        <v>1172.2830200640001</v>
      </c>
      <c r="W68" s="59">
        <v>2022</v>
      </c>
      <c r="X68" s="69">
        <v>2572778.1</v>
      </c>
      <c r="Y68" s="69">
        <f>+(K68*12.08+L68*20.47)*12</f>
        <v>723702.28799999994</v>
      </c>
      <c r="AA68" s="70" t="e">
        <v>#REF!</v>
      </c>
      <c r="AD68" s="70" t="e">
        <v>#REF!</v>
      </c>
      <c r="AP68" s="61">
        <f>+N68-'Приложение №2'!E68</f>
        <v>0</v>
      </c>
      <c r="AQ68" s="69">
        <v>3256376.72</v>
      </c>
      <c r="AR68" s="3">
        <f>+(K68*13.29+L68*22.52)*12*0.85</f>
        <v>676761.34019999986</v>
      </c>
      <c r="AS68" s="3">
        <f>+(K68*13.29+L68*22.52)*12*30</f>
        <v>23885694.359999999</v>
      </c>
      <c r="AT68" s="6">
        <f t="shared" si="28"/>
        <v>-21769906.126758348</v>
      </c>
      <c r="AW68" s="62">
        <f t="shared" si="22"/>
        <v>6048926.2934416514</v>
      </c>
      <c r="AX68" s="62"/>
      <c r="AY68" s="62"/>
      <c r="AZ68" s="62"/>
      <c r="BA68" s="62"/>
      <c r="BB68" s="62"/>
      <c r="BC68" s="62"/>
      <c r="BD68" s="62"/>
      <c r="BE68" s="62">
        <v>5738993.2800000003</v>
      </c>
      <c r="BF68" s="62"/>
      <c r="BG68" s="62"/>
      <c r="BH68" s="62"/>
      <c r="BI68" s="62"/>
      <c r="BJ68" s="62">
        <v>135639.08179200001</v>
      </c>
      <c r="BK68" s="62">
        <v>24000</v>
      </c>
      <c r="BL68" s="62">
        <v>150293.931649651</v>
      </c>
      <c r="BM68" s="8">
        <f t="shared" si="23"/>
        <v>6048926.2934416514</v>
      </c>
      <c r="BN68" s="62"/>
      <c r="BO68" s="62"/>
      <c r="BP68" s="62"/>
      <c r="BQ68" s="62"/>
      <c r="BR68" s="62"/>
      <c r="BS68" s="62"/>
      <c r="BT68" s="62"/>
      <c r="BU68" s="62">
        <v>5738993.2800000003</v>
      </c>
      <c r="BV68" s="62"/>
      <c r="BW68" s="62"/>
      <c r="BX68" s="62"/>
      <c r="BY68" s="62"/>
      <c r="BZ68" s="62">
        <v>135639.08179200001</v>
      </c>
      <c r="CA68" s="62">
        <v>24000</v>
      </c>
      <c r="CB68" s="62">
        <v>150293.931649651</v>
      </c>
    </row>
    <row r="69" spans="1:80" x14ac:dyDescent="0.25">
      <c r="A69" s="52">
        <f t="shared" si="24"/>
        <v>52</v>
      </c>
      <c r="B69" s="53">
        <f t="shared" si="25"/>
        <v>52</v>
      </c>
      <c r="C69" s="53" t="s">
        <v>108</v>
      </c>
      <c r="D69" s="53" t="s">
        <v>126</v>
      </c>
      <c r="E69" s="54">
        <v>1968</v>
      </c>
      <c r="F69" s="54">
        <v>2013</v>
      </c>
      <c r="G69" s="54" t="s">
        <v>64</v>
      </c>
      <c r="H69" s="54">
        <v>5</v>
      </c>
      <c r="I69" s="54">
        <v>4</v>
      </c>
      <c r="J69" s="55">
        <v>3228.9</v>
      </c>
      <c r="K69" s="55">
        <v>2518.9</v>
      </c>
      <c r="L69" s="55">
        <v>710</v>
      </c>
      <c r="M69" s="56">
        <v>136</v>
      </c>
      <c r="N69" s="57">
        <v>1231516.4522619999</v>
      </c>
      <c r="O69" s="55"/>
      <c r="P69" s="63"/>
      <c r="Q69" s="63"/>
      <c r="R69" s="63">
        <v>1231516.4522619999</v>
      </c>
      <c r="S69" s="63">
        <v>0</v>
      </c>
      <c r="T69" s="63">
        <v>0</v>
      </c>
      <c r="U69" s="55">
        <v>381.40433344544601</v>
      </c>
      <c r="V69" s="55">
        <v>381.40433344544601</v>
      </c>
      <c r="W69" s="59">
        <v>2022</v>
      </c>
      <c r="X69" s="6" t="e">
        <v>#REF!</v>
      </c>
      <c r="Z69" s="62">
        <f t="shared" ref="Z69:Z86" si="29">SUM(AA69:AO69)</f>
        <v>27107198.400000002</v>
      </c>
      <c r="AA69" s="55">
        <v>5940143.1063865796</v>
      </c>
      <c r="AB69" s="55">
        <v>2116717.1923795799</v>
      </c>
      <c r="AC69" s="55">
        <v>2211498.4827243001</v>
      </c>
      <c r="AD69" s="55">
        <v>1384537.88247348</v>
      </c>
      <c r="AE69" s="55">
        <v>847110.81731472001</v>
      </c>
      <c r="AF69" s="55"/>
      <c r="AG69" s="55">
        <v>227939.55009504</v>
      </c>
      <c r="AH69" s="55">
        <v>0</v>
      </c>
      <c r="AI69" s="55">
        <v>10859485.412210399</v>
      </c>
      <c r="AJ69" s="55">
        <v>0</v>
      </c>
      <c r="AK69" s="55">
        <v>0</v>
      </c>
      <c r="AL69" s="55">
        <v>0</v>
      </c>
      <c r="AM69" s="55">
        <v>2732884.5975000001</v>
      </c>
      <c r="AN69" s="63">
        <v>271071.984</v>
      </c>
      <c r="AO69" s="64">
        <v>515809.3749159</v>
      </c>
      <c r="AP69" s="61">
        <f>+N69-'Приложение №2'!E69</f>
        <v>0</v>
      </c>
      <c r="AQ69" s="1">
        <v>1993779.07</v>
      </c>
      <c r="AR69" s="3">
        <f>+(K69*10+L69*20)*12*0.85</f>
        <v>401767.8</v>
      </c>
      <c r="AS69" s="3">
        <f>+(K69*10+L69*20)*12*30</f>
        <v>14180040</v>
      </c>
      <c r="AT69" s="6">
        <f t="shared" si="28"/>
        <v>-14180040</v>
      </c>
      <c r="AU69" s="6" t="e">
        <v>#REF!</v>
      </c>
      <c r="AV69" s="6" t="e">
        <v>#REF!</v>
      </c>
      <c r="AW69" s="62">
        <f t="shared" si="22"/>
        <v>1231516.4522619999</v>
      </c>
      <c r="AX69" s="55"/>
      <c r="AY69" s="55"/>
      <c r="AZ69" s="55"/>
      <c r="BA69" s="55"/>
      <c r="BB69" s="55">
        <f>1117005.032262+1399.01</f>
        <v>1118404.042262</v>
      </c>
      <c r="BC69" s="55"/>
      <c r="BD69" s="55"/>
      <c r="BE69" s="55"/>
      <c r="BF69" s="55"/>
      <c r="BG69" s="55">
        <v>0</v>
      </c>
      <c r="BH69" s="55">
        <v>0</v>
      </c>
      <c r="BI69" s="55">
        <v>0</v>
      </c>
      <c r="BJ69" s="55"/>
      <c r="BK69" s="63"/>
      <c r="BL69" s="64">
        <v>113112.41</v>
      </c>
      <c r="BM69" s="8">
        <f t="shared" si="23"/>
        <v>1231516.4522619999</v>
      </c>
      <c r="BN69" s="55"/>
      <c r="BO69" s="55"/>
      <c r="BP69" s="55"/>
      <c r="BQ69" s="55"/>
      <c r="BR69" s="55">
        <f>1117005.032262+1399.01</f>
        <v>1118404.042262</v>
      </c>
      <c r="BS69" s="55"/>
      <c r="BT69" s="55"/>
      <c r="BU69" s="55"/>
      <c r="BV69" s="55"/>
      <c r="BW69" s="55">
        <v>0</v>
      </c>
      <c r="BX69" s="55">
        <v>0</v>
      </c>
      <c r="BY69" s="55">
        <v>0</v>
      </c>
      <c r="BZ69" s="55"/>
      <c r="CA69" s="63"/>
      <c r="CB69" s="64">
        <v>113112.41</v>
      </c>
    </row>
    <row r="70" spans="1:80" x14ac:dyDescent="0.25">
      <c r="A70" s="52">
        <f t="shared" si="24"/>
        <v>53</v>
      </c>
      <c r="B70" s="53">
        <f t="shared" si="25"/>
        <v>53</v>
      </c>
      <c r="C70" s="53" t="s">
        <v>108</v>
      </c>
      <c r="D70" s="53" t="s">
        <v>127</v>
      </c>
      <c r="E70" s="54">
        <v>1965</v>
      </c>
      <c r="F70" s="54">
        <v>2005</v>
      </c>
      <c r="G70" s="54" t="s">
        <v>64</v>
      </c>
      <c r="H70" s="54">
        <v>4</v>
      </c>
      <c r="I70" s="54">
        <v>2</v>
      </c>
      <c r="J70" s="55">
        <v>1948.5</v>
      </c>
      <c r="K70" s="55">
        <v>1410</v>
      </c>
      <c r="L70" s="55">
        <v>537.70000000000005</v>
      </c>
      <c r="M70" s="56">
        <v>38</v>
      </c>
      <c r="N70" s="62">
        <v>784502.32414875994</v>
      </c>
      <c r="O70" s="55"/>
      <c r="P70" s="63"/>
      <c r="Q70" s="63"/>
      <c r="R70" s="63">
        <v>784502.32414875994</v>
      </c>
      <c r="S70" s="63">
        <v>0</v>
      </c>
      <c r="T70" s="55"/>
      <c r="U70" s="63">
        <v>402.78396269895802</v>
      </c>
      <c r="V70" s="63">
        <v>402.78396269895802</v>
      </c>
      <c r="W70" s="59">
        <v>2022</v>
      </c>
      <c r="X70" s="6" t="e">
        <v>#REF!</v>
      </c>
      <c r="Z70" s="62">
        <f t="shared" si="29"/>
        <v>10380935.740000002</v>
      </c>
      <c r="AA70" s="55">
        <v>4172919.5503249802</v>
      </c>
      <c r="AB70" s="55">
        <v>1486982.7864103799</v>
      </c>
      <c r="AC70" s="55">
        <v>1553566.1571465</v>
      </c>
      <c r="AD70" s="55">
        <v>972630.63727284002</v>
      </c>
      <c r="AE70" s="55">
        <v>595090.92894678004</v>
      </c>
      <c r="AF70" s="55"/>
      <c r="AG70" s="55">
        <v>160126.34455524001</v>
      </c>
      <c r="AH70" s="55">
        <v>0</v>
      </c>
      <c r="AI70" s="55">
        <v>0</v>
      </c>
      <c r="AJ70" s="55">
        <v>0</v>
      </c>
      <c r="AK70" s="55">
        <v>0</v>
      </c>
      <c r="AL70" s="55">
        <v>0</v>
      </c>
      <c r="AM70" s="55">
        <v>1140281.4974</v>
      </c>
      <c r="AN70" s="63">
        <v>103809.35739999999</v>
      </c>
      <c r="AO70" s="64">
        <v>195528.48054327999</v>
      </c>
      <c r="AP70" s="61">
        <f>+N70-'Приложение №2'!E70</f>
        <v>0</v>
      </c>
      <c r="AQ70" s="1">
        <v>945052.78</v>
      </c>
      <c r="AR70" s="3">
        <f>+(K70*10+L70*20)*12*0.85</f>
        <v>253510.8</v>
      </c>
      <c r="AS70" s="3">
        <f>+(K70*10+L70*20)*12*30</f>
        <v>8947440</v>
      </c>
      <c r="AT70" s="6">
        <f t="shared" si="28"/>
        <v>-8947440</v>
      </c>
      <c r="AW70" s="62">
        <f t="shared" si="22"/>
        <v>784502.32414875994</v>
      </c>
      <c r="AX70" s="55"/>
      <c r="AY70" s="55"/>
      <c r="AZ70" s="55">
        <v>727596.98</v>
      </c>
      <c r="BA70" s="55"/>
      <c r="BB70" s="55"/>
      <c r="BC70" s="55"/>
      <c r="BD70" s="55"/>
      <c r="BE70" s="55">
        <v>0</v>
      </c>
      <c r="BF70" s="55">
        <v>0</v>
      </c>
      <c r="BG70" s="55">
        <v>0</v>
      </c>
      <c r="BH70" s="55">
        <v>0</v>
      </c>
      <c r="BI70" s="55">
        <v>0</v>
      </c>
      <c r="BJ70" s="55"/>
      <c r="BK70" s="63"/>
      <c r="BL70" s="64">
        <v>56905.344148759999</v>
      </c>
      <c r="BM70" s="8">
        <f t="shared" si="23"/>
        <v>784502.32414875994</v>
      </c>
      <c r="BN70" s="55"/>
      <c r="BO70" s="55"/>
      <c r="BP70" s="55">
        <v>727596.98</v>
      </c>
      <c r="BQ70" s="55"/>
      <c r="BR70" s="55"/>
      <c r="BS70" s="55"/>
      <c r="BT70" s="55"/>
      <c r="BU70" s="55">
        <v>0</v>
      </c>
      <c r="BV70" s="55">
        <v>0</v>
      </c>
      <c r="BW70" s="55">
        <v>0</v>
      </c>
      <c r="BX70" s="55">
        <v>0</v>
      </c>
      <c r="BY70" s="55">
        <v>0</v>
      </c>
      <c r="BZ70" s="55"/>
      <c r="CA70" s="63"/>
      <c r="CB70" s="64">
        <v>56905.344148759999</v>
      </c>
    </row>
    <row r="71" spans="1:80" x14ac:dyDescent="0.25">
      <c r="A71" s="52">
        <f t="shared" si="24"/>
        <v>54</v>
      </c>
      <c r="B71" s="53">
        <f t="shared" si="25"/>
        <v>54</v>
      </c>
      <c r="C71" s="53" t="s">
        <v>108</v>
      </c>
      <c r="D71" s="53" t="s">
        <v>128</v>
      </c>
      <c r="E71" s="54">
        <v>1963</v>
      </c>
      <c r="F71" s="54">
        <v>2013</v>
      </c>
      <c r="G71" s="54" t="s">
        <v>64</v>
      </c>
      <c r="H71" s="54">
        <v>4</v>
      </c>
      <c r="I71" s="54">
        <v>3</v>
      </c>
      <c r="J71" s="55">
        <v>2328.4</v>
      </c>
      <c r="K71" s="55">
        <v>1950.9</v>
      </c>
      <c r="L71" s="55">
        <v>377.5</v>
      </c>
      <c r="M71" s="56">
        <v>49</v>
      </c>
      <c r="N71" s="62">
        <v>4592465.8816174399</v>
      </c>
      <c r="O71" s="55"/>
      <c r="P71" s="63"/>
      <c r="Q71" s="63"/>
      <c r="R71" s="63">
        <v>761274.89161744004</v>
      </c>
      <c r="S71" s="63">
        <v>3831190.99</v>
      </c>
      <c r="T71" s="55">
        <v>0</v>
      </c>
      <c r="U71" s="63">
        <v>1972.3698168774399</v>
      </c>
      <c r="V71" s="63">
        <v>1972.3698168774399</v>
      </c>
      <c r="W71" s="59">
        <v>2022</v>
      </c>
      <c r="X71" s="6" t="e">
        <v>#REF!</v>
      </c>
      <c r="Z71" s="62">
        <f t="shared" si="29"/>
        <v>11906775.32</v>
      </c>
      <c r="AA71" s="55">
        <v>4786275.2192018405</v>
      </c>
      <c r="AB71" s="55">
        <v>1705546.6285494</v>
      </c>
      <c r="AC71" s="55">
        <v>1781916.7351927201</v>
      </c>
      <c r="AD71" s="55">
        <v>1115592.5413768799</v>
      </c>
      <c r="AE71" s="55">
        <v>682560.24163362</v>
      </c>
      <c r="AF71" s="55"/>
      <c r="AG71" s="55">
        <v>183662.48366172001</v>
      </c>
      <c r="AH71" s="55">
        <v>0</v>
      </c>
      <c r="AI71" s="55">
        <v>0</v>
      </c>
      <c r="AJ71" s="55">
        <v>0</v>
      </c>
      <c r="AK71" s="55">
        <v>0</v>
      </c>
      <c r="AL71" s="55">
        <v>0</v>
      </c>
      <c r="AM71" s="55">
        <v>1307885.5255</v>
      </c>
      <c r="AN71" s="63">
        <v>119067.75320000001</v>
      </c>
      <c r="AO71" s="64">
        <v>224268.19168382001</v>
      </c>
      <c r="AP71" s="61">
        <f>+N71-'Приложение №2'!E71</f>
        <v>0</v>
      </c>
      <c r="AQ71" s="1">
        <v>1234380.76</v>
      </c>
      <c r="AR71" s="3">
        <f>+(K71*10+L71*20)*12*0.85</f>
        <v>276001.8</v>
      </c>
      <c r="AS71" s="3">
        <f>+(K71*10+L71*20)*12*30</f>
        <v>9741240</v>
      </c>
      <c r="AT71" s="6">
        <f t="shared" si="28"/>
        <v>-5910049.0099999998</v>
      </c>
      <c r="AW71" s="62">
        <f t="shared" si="22"/>
        <v>4592465.8816174399</v>
      </c>
      <c r="AX71" s="55">
        <v>2728315.47</v>
      </c>
      <c r="AY71" s="55">
        <v>1047486.37</v>
      </c>
      <c r="AZ71" s="55">
        <v>607322.06000000006</v>
      </c>
      <c r="BA71" s="55"/>
      <c r="BB71" s="55"/>
      <c r="BC71" s="55"/>
      <c r="BD71" s="55"/>
      <c r="BE71" s="55">
        <v>0</v>
      </c>
      <c r="BF71" s="55">
        <v>0</v>
      </c>
      <c r="BG71" s="55">
        <v>0</v>
      </c>
      <c r="BH71" s="55">
        <v>0</v>
      </c>
      <c r="BI71" s="55">
        <v>0</v>
      </c>
      <c r="BJ71" s="55"/>
      <c r="BK71" s="63"/>
      <c r="BL71" s="64">
        <v>209341.98161744</v>
      </c>
      <c r="BM71" s="8">
        <f t="shared" si="23"/>
        <v>4592465.8816174399</v>
      </c>
      <c r="BN71" s="55">
        <v>2728315.47</v>
      </c>
      <c r="BO71" s="55">
        <v>1047486.37</v>
      </c>
      <c r="BP71" s="55">
        <v>607322.06000000006</v>
      </c>
      <c r="BQ71" s="55"/>
      <c r="BR71" s="55"/>
      <c r="BS71" s="55"/>
      <c r="BT71" s="55"/>
      <c r="BU71" s="55">
        <v>0</v>
      </c>
      <c r="BV71" s="55">
        <v>0</v>
      </c>
      <c r="BW71" s="55">
        <v>0</v>
      </c>
      <c r="BX71" s="55">
        <v>0</v>
      </c>
      <c r="BY71" s="55">
        <v>0</v>
      </c>
      <c r="BZ71" s="55"/>
      <c r="CA71" s="63"/>
      <c r="CB71" s="64">
        <v>209341.98161744</v>
      </c>
    </row>
    <row r="72" spans="1:80" x14ac:dyDescent="0.25">
      <c r="A72" s="52">
        <f t="shared" si="24"/>
        <v>55</v>
      </c>
      <c r="B72" s="53">
        <f t="shared" si="25"/>
        <v>55</v>
      </c>
      <c r="C72" s="53" t="s">
        <v>108</v>
      </c>
      <c r="D72" s="53" t="s">
        <v>129</v>
      </c>
      <c r="E72" s="54">
        <v>1989</v>
      </c>
      <c r="F72" s="54">
        <v>2017</v>
      </c>
      <c r="G72" s="54" t="s">
        <v>64</v>
      </c>
      <c r="H72" s="54">
        <v>9</v>
      </c>
      <c r="I72" s="54">
        <v>3</v>
      </c>
      <c r="J72" s="55">
        <v>7106.9</v>
      </c>
      <c r="K72" s="55">
        <v>6247.4</v>
      </c>
      <c r="L72" s="55">
        <v>0</v>
      </c>
      <c r="M72" s="56">
        <v>249</v>
      </c>
      <c r="N72" s="62">
        <v>2718733.1342166201</v>
      </c>
      <c r="O72" s="55"/>
      <c r="P72" s="63"/>
      <c r="Q72" s="63"/>
      <c r="R72" s="63">
        <v>1710288.97421662</v>
      </c>
      <c r="S72" s="63">
        <v>1008444.16</v>
      </c>
      <c r="T72" s="55">
        <v>0</v>
      </c>
      <c r="U72" s="63">
        <v>435.17833566229501</v>
      </c>
      <c r="V72" s="63">
        <v>435.17833566229501</v>
      </c>
      <c r="W72" s="59">
        <v>2022</v>
      </c>
      <c r="X72" s="6" t="e">
        <v>#REF!</v>
      </c>
      <c r="Z72" s="62">
        <f t="shared" si="29"/>
        <v>25881031.239999998</v>
      </c>
      <c r="AA72" s="55"/>
      <c r="AB72" s="55"/>
      <c r="AC72" s="55"/>
      <c r="AD72" s="55"/>
      <c r="AE72" s="55">
        <v>0</v>
      </c>
      <c r="AF72" s="55"/>
      <c r="AG72" s="55"/>
      <c r="AH72" s="55">
        <v>0</v>
      </c>
      <c r="AI72" s="55"/>
      <c r="AJ72" s="55">
        <v>0</v>
      </c>
      <c r="AK72" s="55">
        <v>25881031.239999998</v>
      </c>
      <c r="AL72" s="55">
        <v>0</v>
      </c>
      <c r="AM72" s="55"/>
      <c r="AN72" s="63"/>
      <c r="AO72" s="64"/>
      <c r="AP72" s="61">
        <f>+N72-'Приложение №2'!E72</f>
        <v>0</v>
      </c>
      <c r="AQ72" s="1">
        <v>2787898.61</v>
      </c>
      <c r="AR72" s="3">
        <f>+(K72*13.29+L72*22.52)*12*0.85</f>
        <v>846885.04919999989</v>
      </c>
      <c r="AS72" s="3">
        <f>+(K72*13.29+L72*22.52)*12*30-131853.4</f>
        <v>29758207.16</v>
      </c>
      <c r="AT72" s="6">
        <f t="shared" si="28"/>
        <v>-28749763</v>
      </c>
      <c r="AW72" s="62">
        <f t="shared" si="22"/>
        <v>2718733.1342166201</v>
      </c>
      <c r="AX72" s="55"/>
      <c r="AY72" s="55">
        <v>0</v>
      </c>
      <c r="AZ72" s="55"/>
      <c r="BA72" s="55">
        <v>1827661.8</v>
      </c>
      <c r="BB72" s="55">
        <v>0</v>
      </c>
      <c r="BC72" s="55"/>
      <c r="BD72" s="55"/>
      <c r="BE72" s="55">
        <v>0</v>
      </c>
      <c r="BF72" s="55"/>
      <c r="BG72" s="55">
        <v>0</v>
      </c>
      <c r="BH72" s="55"/>
      <c r="BI72" s="55">
        <v>0</v>
      </c>
      <c r="BJ72" s="55"/>
      <c r="BK72" s="63"/>
      <c r="BL72" s="64">
        <v>891071.33421661996</v>
      </c>
      <c r="BM72" s="8">
        <f t="shared" si="23"/>
        <v>2718733.1342166201</v>
      </c>
      <c r="BN72" s="55"/>
      <c r="BO72" s="55">
        <v>0</v>
      </c>
      <c r="BP72" s="55"/>
      <c r="BQ72" s="55">
        <v>1827661.8</v>
      </c>
      <c r="BR72" s="55">
        <v>0</v>
      </c>
      <c r="BS72" s="55"/>
      <c r="BT72" s="55"/>
      <c r="BU72" s="55">
        <v>0</v>
      </c>
      <c r="BV72" s="55"/>
      <c r="BW72" s="55">
        <v>0</v>
      </c>
      <c r="BX72" s="55"/>
      <c r="BY72" s="55">
        <v>0</v>
      </c>
      <c r="BZ72" s="55"/>
      <c r="CA72" s="63"/>
      <c r="CB72" s="64">
        <v>891071.33421661996</v>
      </c>
    </row>
    <row r="73" spans="1:80" x14ac:dyDescent="0.25">
      <c r="A73" s="52">
        <f t="shared" si="24"/>
        <v>56</v>
      </c>
      <c r="B73" s="53">
        <f t="shared" si="25"/>
        <v>56</v>
      </c>
      <c r="C73" s="53" t="s">
        <v>108</v>
      </c>
      <c r="D73" s="53" t="s">
        <v>130</v>
      </c>
      <c r="E73" s="54">
        <v>1989</v>
      </c>
      <c r="F73" s="54">
        <v>2017</v>
      </c>
      <c r="G73" s="54" t="s">
        <v>64</v>
      </c>
      <c r="H73" s="54">
        <v>9</v>
      </c>
      <c r="I73" s="54">
        <v>3</v>
      </c>
      <c r="J73" s="55">
        <v>8049.4</v>
      </c>
      <c r="K73" s="55">
        <v>6639.6</v>
      </c>
      <c r="L73" s="55">
        <v>0</v>
      </c>
      <c r="M73" s="56">
        <v>258</v>
      </c>
      <c r="N73" s="62">
        <v>3385337.9774930598</v>
      </c>
      <c r="O73" s="55"/>
      <c r="P73" s="63"/>
      <c r="Q73" s="63"/>
      <c r="R73" s="63"/>
      <c r="S73" s="63">
        <v>3385337.9774930598</v>
      </c>
      <c r="T73" s="55">
        <v>0</v>
      </c>
      <c r="U73" s="63">
        <v>509.870771958109</v>
      </c>
      <c r="V73" s="63">
        <v>509.870771958109</v>
      </c>
      <c r="W73" s="59">
        <v>2022</v>
      </c>
      <c r="X73" s="6" t="e">
        <v>#REF!</v>
      </c>
      <c r="Z73" s="62">
        <f t="shared" si="29"/>
        <v>34535107.586130932</v>
      </c>
      <c r="AA73" s="55">
        <v>9503098.7698319405</v>
      </c>
      <c r="AB73" s="55">
        <v>0</v>
      </c>
      <c r="AC73" s="55">
        <v>6138860.8976629199</v>
      </c>
      <c r="AD73" s="55">
        <v>2958309.3156556799</v>
      </c>
      <c r="AE73" s="55">
        <v>0</v>
      </c>
      <c r="AF73" s="55"/>
      <c r="AG73" s="55">
        <v>715245.76767840004</v>
      </c>
      <c r="AH73" s="55">
        <v>0</v>
      </c>
      <c r="AI73" s="55">
        <v>5352142.2195779998</v>
      </c>
      <c r="AJ73" s="55">
        <v>0</v>
      </c>
      <c r="AK73" s="55"/>
      <c r="AL73" s="55">
        <v>0</v>
      </c>
      <c r="AM73" s="55">
        <v>7589459.6135999998</v>
      </c>
      <c r="AN73" s="63">
        <v>782532.36640000006</v>
      </c>
      <c r="AO73" s="64">
        <v>1495458.6357239999</v>
      </c>
      <c r="AP73" s="61">
        <f>+N73-'Приложение №2'!E73</f>
        <v>0</v>
      </c>
      <c r="AQ73" s="1">
        <v>4261157.78</v>
      </c>
      <c r="AR73" s="3">
        <f>+(K73*13.29+L73*22.52)*12*0.85</f>
        <v>900050.89679999999</v>
      </c>
      <c r="AS73" s="3">
        <f>+(K73*13.29+L73*22.52)*12*30-14694406.85</f>
        <v>17072095.390000001</v>
      </c>
      <c r="AT73" s="6">
        <f t="shared" si="28"/>
        <v>-13686757.412506942</v>
      </c>
      <c r="AW73" s="62">
        <f t="shared" si="22"/>
        <v>3385337.9774930598</v>
      </c>
      <c r="AX73" s="55"/>
      <c r="AY73" s="55">
        <v>0</v>
      </c>
      <c r="AZ73" s="55"/>
      <c r="BA73" s="55"/>
      <c r="BB73" s="55">
        <v>0</v>
      </c>
      <c r="BC73" s="55"/>
      <c r="BD73" s="55"/>
      <c r="BE73" s="55">
        <v>0</v>
      </c>
      <c r="BF73" s="55">
        <v>2845906.28</v>
      </c>
      <c r="BG73" s="55">
        <v>0</v>
      </c>
      <c r="BH73" s="55"/>
      <c r="BI73" s="55">
        <v>0</v>
      </c>
      <c r="BJ73" s="55"/>
      <c r="BK73" s="63"/>
      <c r="BL73" s="64">
        <v>539431.69749306003</v>
      </c>
      <c r="BM73" s="8">
        <f t="shared" si="23"/>
        <v>3385337.9774930598</v>
      </c>
      <c r="BN73" s="55"/>
      <c r="BO73" s="55">
        <v>0</v>
      </c>
      <c r="BP73" s="55"/>
      <c r="BQ73" s="55"/>
      <c r="BR73" s="55">
        <v>0</v>
      </c>
      <c r="BS73" s="55"/>
      <c r="BT73" s="55"/>
      <c r="BU73" s="55">
        <v>0</v>
      </c>
      <c r="BV73" s="55">
        <v>2845906.28</v>
      </c>
      <c r="BW73" s="55">
        <v>0</v>
      </c>
      <c r="BX73" s="55"/>
      <c r="BY73" s="55">
        <v>0</v>
      </c>
      <c r="BZ73" s="55"/>
      <c r="CA73" s="63"/>
      <c r="CB73" s="64">
        <v>539431.69749306003</v>
      </c>
    </row>
    <row r="74" spans="1:80" x14ac:dyDescent="0.25">
      <c r="A74" s="52">
        <f t="shared" si="24"/>
        <v>57</v>
      </c>
      <c r="B74" s="53">
        <f t="shared" si="25"/>
        <v>57</v>
      </c>
      <c r="C74" s="53" t="s">
        <v>108</v>
      </c>
      <c r="D74" s="53" t="s">
        <v>131</v>
      </c>
      <c r="E74" s="54">
        <v>1994</v>
      </c>
      <c r="F74" s="54">
        <v>2013</v>
      </c>
      <c r="G74" s="54" t="s">
        <v>64</v>
      </c>
      <c r="H74" s="54">
        <v>9</v>
      </c>
      <c r="I74" s="54">
        <v>3</v>
      </c>
      <c r="J74" s="55">
        <v>7891.7</v>
      </c>
      <c r="K74" s="55">
        <v>6600.8</v>
      </c>
      <c r="L74" s="55">
        <v>0</v>
      </c>
      <c r="M74" s="56">
        <v>291</v>
      </c>
      <c r="N74" s="62">
        <v>6382437.5058791796</v>
      </c>
      <c r="O74" s="55"/>
      <c r="P74" s="63"/>
      <c r="Q74" s="63"/>
      <c r="R74" s="63">
        <v>1668103.1163999999</v>
      </c>
      <c r="S74" s="63">
        <v>4714334.3894791799</v>
      </c>
      <c r="T74" s="55">
        <v>0</v>
      </c>
      <c r="U74" s="63">
        <v>966.91878346248598</v>
      </c>
      <c r="V74" s="63">
        <v>966.91878346248598</v>
      </c>
      <c r="W74" s="59">
        <v>2022</v>
      </c>
      <c r="Z74" s="62">
        <f t="shared" si="29"/>
        <v>8703397.3199999984</v>
      </c>
      <c r="AA74" s="55"/>
      <c r="AB74" s="63"/>
      <c r="AC74" s="55"/>
      <c r="AD74" s="55"/>
      <c r="AE74" s="63">
        <v>0</v>
      </c>
      <c r="AF74" s="63">
        <v>0</v>
      </c>
      <c r="AG74" s="63"/>
      <c r="AH74" s="63">
        <v>8628684.8599999994</v>
      </c>
      <c r="AI74" s="55"/>
      <c r="AJ74" s="63">
        <v>0</v>
      </c>
      <c r="AK74" s="55"/>
      <c r="AL74" s="63">
        <v>0</v>
      </c>
      <c r="AM74" s="55">
        <v>55020.37</v>
      </c>
      <c r="AN74" s="55">
        <v>19692.09</v>
      </c>
      <c r="AO74" s="60"/>
      <c r="AP74" s="61">
        <f>+N74-'Приложение №2'!E74</f>
        <v>0</v>
      </c>
      <c r="AQ74" s="1">
        <f>4161512.94-301266.52-3086934.55</f>
        <v>773311.87000000011</v>
      </c>
      <c r="AR74" s="3">
        <f>+(K74*13.29+L74*22.52)*12*0.85</f>
        <v>894791.24639999995</v>
      </c>
      <c r="AS74" s="3">
        <f>+(K74*13.29+L74*22.52)*12*30-1198680.53-8354818.57</f>
        <v>22027368.419999998</v>
      </c>
      <c r="AT74" s="6">
        <f t="shared" si="28"/>
        <v>-17313034.030520819</v>
      </c>
      <c r="AW74" s="62">
        <f t="shared" si="22"/>
        <v>6382437.5058791805</v>
      </c>
      <c r="AX74" s="55"/>
      <c r="AY74" s="55">
        <v>0</v>
      </c>
      <c r="BB74" s="55">
        <v>0</v>
      </c>
      <c r="BC74" s="55"/>
      <c r="BD74" s="55"/>
      <c r="BE74" s="55">
        <v>0</v>
      </c>
      <c r="BF74" s="55">
        <v>3018526.85</v>
      </c>
      <c r="BG74" s="55">
        <v>0</v>
      </c>
      <c r="BH74" s="55"/>
      <c r="BI74" s="55">
        <v>0</v>
      </c>
      <c r="BJ74" s="55">
        <v>2550189.8569999998</v>
      </c>
      <c r="BK74" s="63">
        <f>278424.5693</f>
        <v>278424.56929999997</v>
      </c>
      <c r="BL74" s="64">
        <v>535296.22957918001</v>
      </c>
      <c r="BM74" s="8">
        <f t="shared" si="23"/>
        <v>6382437.5058791805</v>
      </c>
      <c r="BN74" s="55"/>
      <c r="BO74" s="55">
        <v>0</v>
      </c>
      <c r="BR74" s="55">
        <v>0</v>
      </c>
      <c r="BS74" s="55"/>
      <c r="BT74" s="55"/>
      <c r="BU74" s="55">
        <v>0</v>
      </c>
      <c r="BV74" s="55">
        <v>3018526.85</v>
      </c>
      <c r="BW74" s="55">
        <v>0</v>
      </c>
      <c r="BX74" s="55"/>
      <c r="BY74" s="55">
        <v>0</v>
      </c>
      <c r="BZ74" s="55">
        <v>2550189.8569999998</v>
      </c>
      <c r="CA74" s="63">
        <f>278424.5693</f>
        <v>278424.56929999997</v>
      </c>
      <c r="CB74" s="64">
        <v>535296.22957918001</v>
      </c>
    </row>
    <row r="75" spans="1:80" x14ac:dyDescent="0.25">
      <c r="A75" s="52">
        <f t="shared" si="24"/>
        <v>58</v>
      </c>
      <c r="B75" s="53">
        <f t="shared" si="25"/>
        <v>58</v>
      </c>
      <c r="C75" s="53" t="s">
        <v>108</v>
      </c>
      <c r="D75" s="53" t="s">
        <v>132</v>
      </c>
      <c r="E75" s="54">
        <v>1987</v>
      </c>
      <c r="F75" s="54">
        <v>2013</v>
      </c>
      <c r="G75" s="54" t="s">
        <v>64</v>
      </c>
      <c r="H75" s="54">
        <v>3</v>
      </c>
      <c r="I75" s="54">
        <v>3</v>
      </c>
      <c r="J75" s="55">
        <v>1395.8</v>
      </c>
      <c r="K75" s="55">
        <v>1268</v>
      </c>
      <c r="L75" s="55">
        <v>0</v>
      </c>
      <c r="M75" s="56">
        <v>63</v>
      </c>
      <c r="N75" s="57">
        <v>9734596.8718827199</v>
      </c>
      <c r="O75" s="55"/>
      <c r="P75" s="7"/>
      <c r="Q75" s="63"/>
      <c r="R75" s="63">
        <v>412386.65</v>
      </c>
      <c r="S75" s="63">
        <v>5662093.7818827201</v>
      </c>
      <c r="T75" s="55">
        <v>3660116.44</v>
      </c>
      <c r="U75" s="55">
        <v>7677.1268705699704</v>
      </c>
      <c r="V75" s="55">
        <v>7677.1268705699704</v>
      </c>
      <c r="W75" s="59">
        <v>2022</v>
      </c>
      <c r="X75" s="6" t="e">
        <v>#REF!</v>
      </c>
      <c r="Z75" s="62">
        <f t="shared" si="29"/>
        <v>20424271.120000001</v>
      </c>
      <c r="AA75" s="55">
        <v>3880461.3812546399</v>
      </c>
      <c r="AB75" s="55">
        <v>2361201.0958737601</v>
      </c>
      <c r="AC75" s="55">
        <v>1112617.8937948199</v>
      </c>
      <c r="AD75" s="55">
        <v>948184.97499599995</v>
      </c>
      <c r="AE75" s="55">
        <v>0</v>
      </c>
      <c r="AF75" s="55"/>
      <c r="AG75" s="55">
        <v>395993.45985528</v>
      </c>
      <c r="AH75" s="55">
        <v>0</v>
      </c>
      <c r="AI75" s="55">
        <v>0</v>
      </c>
      <c r="AJ75" s="55">
        <v>0</v>
      </c>
      <c r="AK75" s="55">
        <v>9178717.2150513008</v>
      </c>
      <c r="AL75" s="55">
        <v>0</v>
      </c>
      <c r="AM75" s="55">
        <v>1951914.7557999999</v>
      </c>
      <c r="AN75" s="63">
        <v>204242.71119999999</v>
      </c>
      <c r="AO75" s="64">
        <v>390937.63217419997</v>
      </c>
      <c r="AP75" s="61">
        <f>+N75-'Приложение №2'!E75</f>
        <v>0</v>
      </c>
      <c r="AQ75" s="1">
        <v>502354.09</v>
      </c>
      <c r="AR75" s="3">
        <f t="shared" ref="AR75:AR86" si="30">+(K75*10+L75*20)*12*0.85</f>
        <v>129336</v>
      </c>
      <c r="AS75" s="3">
        <f>+(K75*10+L75*20)*12*30</f>
        <v>4564800</v>
      </c>
      <c r="AT75" s="6">
        <f t="shared" si="28"/>
        <v>1097293.7818827201</v>
      </c>
      <c r="AW75" s="62">
        <f t="shared" si="22"/>
        <v>9734596.8718827199</v>
      </c>
      <c r="AX75" s="55"/>
      <c r="AY75" s="55"/>
      <c r="AZ75" s="55"/>
      <c r="BA75" s="55"/>
      <c r="BB75" s="55">
        <v>0</v>
      </c>
      <c r="BC75" s="55"/>
      <c r="BD75" s="55"/>
      <c r="BE75" s="55">
        <v>0</v>
      </c>
      <c r="BF75" s="55">
        <v>0</v>
      </c>
      <c r="BG75" s="55">
        <v>0</v>
      </c>
      <c r="BH75" s="55">
        <v>9311700.5</v>
      </c>
      <c r="BI75" s="55">
        <v>0</v>
      </c>
      <c r="BJ75" s="55"/>
      <c r="BK75" s="63"/>
      <c r="BL75" s="64">
        <v>422896.37188271998</v>
      </c>
      <c r="BM75" s="8">
        <f t="shared" si="23"/>
        <v>9734596.8718827199</v>
      </c>
      <c r="BN75" s="55"/>
      <c r="BO75" s="55"/>
      <c r="BP75" s="55"/>
      <c r="BQ75" s="55"/>
      <c r="BR75" s="55">
        <v>0</v>
      </c>
      <c r="BS75" s="55"/>
      <c r="BT75" s="55"/>
      <c r="BU75" s="55">
        <v>0</v>
      </c>
      <c r="BV75" s="55">
        <v>0</v>
      </c>
      <c r="BW75" s="55">
        <v>0</v>
      </c>
      <c r="BX75" s="55">
        <v>9311700.5</v>
      </c>
      <c r="BY75" s="55">
        <v>0</v>
      </c>
      <c r="BZ75" s="55"/>
      <c r="CA75" s="63"/>
      <c r="CB75" s="64">
        <v>422896.37188271998</v>
      </c>
    </row>
    <row r="76" spans="1:80" x14ac:dyDescent="0.25">
      <c r="A76" s="52">
        <f t="shared" si="24"/>
        <v>59</v>
      </c>
      <c r="B76" s="53">
        <f t="shared" si="25"/>
        <v>59</v>
      </c>
      <c r="C76" s="53" t="s">
        <v>108</v>
      </c>
      <c r="D76" s="53" t="s">
        <v>133</v>
      </c>
      <c r="E76" s="54">
        <v>1982</v>
      </c>
      <c r="F76" s="54">
        <v>2005</v>
      </c>
      <c r="G76" s="54" t="s">
        <v>64</v>
      </c>
      <c r="H76" s="54">
        <v>4</v>
      </c>
      <c r="I76" s="54">
        <v>3</v>
      </c>
      <c r="J76" s="55">
        <v>4260.17</v>
      </c>
      <c r="K76" s="55">
        <v>3632.44</v>
      </c>
      <c r="L76" s="55">
        <v>448.5</v>
      </c>
      <c r="M76" s="56">
        <v>282</v>
      </c>
      <c r="N76" s="57">
        <v>34443200.6459364</v>
      </c>
      <c r="O76" s="55"/>
      <c r="P76" s="63">
        <v>9795460.2799999993</v>
      </c>
      <c r="Q76" s="63"/>
      <c r="R76" s="63">
        <v>2404077.6800000002</v>
      </c>
      <c r="S76" s="63">
        <v>22243662.685936399</v>
      </c>
      <c r="T76" s="55">
        <v>0</v>
      </c>
      <c r="U76" s="63">
        <v>8440.01642904242</v>
      </c>
      <c r="V76" s="63">
        <v>8440.01642904242</v>
      </c>
      <c r="W76" s="59">
        <v>2022</v>
      </c>
      <c r="X76" s="6" t="e">
        <v>#REF!</v>
      </c>
      <c r="Z76" s="62">
        <f t="shared" si="29"/>
        <v>64128906.539999999</v>
      </c>
      <c r="AA76" s="55">
        <v>9690780.7754885405</v>
      </c>
      <c r="AB76" s="55">
        <v>3453223.58397828</v>
      </c>
      <c r="AC76" s="55">
        <v>3607850.2836289201</v>
      </c>
      <c r="AD76" s="55">
        <v>2258742.3947533201</v>
      </c>
      <c r="AE76" s="55">
        <v>0</v>
      </c>
      <c r="AF76" s="55"/>
      <c r="AG76" s="55">
        <v>371861.79313164001</v>
      </c>
      <c r="AH76" s="55">
        <v>0</v>
      </c>
      <c r="AI76" s="55">
        <v>17716221.746810999</v>
      </c>
      <c r="AJ76" s="55">
        <v>0</v>
      </c>
      <c r="AK76" s="55">
        <v>9198344.3463416398</v>
      </c>
      <c r="AL76" s="55">
        <v>9921491.0771583598</v>
      </c>
      <c r="AM76" s="55">
        <v>6039716.3901000004</v>
      </c>
      <c r="AN76" s="63">
        <v>641289.06539999996</v>
      </c>
      <c r="AO76" s="64">
        <v>1229385.0832082999</v>
      </c>
      <c r="AP76" s="61">
        <f>+N76-'Приложение №2'!E76</f>
        <v>0</v>
      </c>
      <c r="AQ76" s="1">
        <v>1942074.8</v>
      </c>
      <c r="AR76" s="3">
        <f t="shared" si="30"/>
        <v>462002.88</v>
      </c>
      <c r="AS76" s="3">
        <f>+(K76*10+L76*20)*12*30</f>
        <v>16305984.000000002</v>
      </c>
      <c r="AT76" s="6">
        <f t="shared" si="28"/>
        <v>5937678.6859363969</v>
      </c>
      <c r="AW76" s="62">
        <f t="shared" si="22"/>
        <v>34443200.645936362</v>
      </c>
      <c r="AX76" s="55">
        <v>6954265.3799999999</v>
      </c>
      <c r="AY76" s="55">
        <v>2374323.58</v>
      </c>
      <c r="AZ76" s="55">
        <v>3305645.72</v>
      </c>
      <c r="BA76" s="55">
        <v>2650517.1800000002</v>
      </c>
      <c r="BB76" s="55"/>
      <c r="BC76" s="55"/>
      <c r="BD76" s="55"/>
      <c r="BE76" s="55"/>
      <c r="BF76" s="55">
        <v>7951460.7199999997</v>
      </c>
      <c r="BG76" s="55"/>
      <c r="BH76" s="55"/>
      <c r="BI76" s="55">
        <v>9695977.5800000001</v>
      </c>
      <c r="BJ76" s="55">
        <v>328083.39630000002</v>
      </c>
      <c r="BK76" s="63">
        <v>44553.206299999998</v>
      </c>
      <c r="BL76" s="64">
        <v>1138373.8833363601</v>
      </c>
      <c r="BM76" s="8">
        <f t="shared" si="23"/>
        <v>34443200.645936362</v>
      </c>
      <c r="BN76" s="55">
        <v>6954265.3799999999</v>
      </c>
      <c r="BO76" s="55">
        <v>2374323.58</v>
      </c>
      <c r="BP76" s="55">
        <v>3305645.72</v>
      </c>
      <c r="BQ76" s="55">
        <v>2650517.1800000002</v>
      </c>
      <c r="BR76" s="55"/>
      <c r="BS76" s="55"/>
      <c r="BT76" s="55"/>
      <c r="BU76" s="55"/>
      <c r="BV76" s="55">
        <v>7951460.7199999997</v>
      </c>
      <c r="BW76" s="55"/>
      <c r="BX76" s="55"/>
      <c r="BY76" s="55">
        <v>9695977.5800000001</v>
      </c>
      <c r="BZ76" s="55">
        <v>328083.39630000002</v>
      </c>
      <c r="CA76" s="63">
        <v>44553.206299999998</v>
      </c>
      <c r="CB76" s="64">
        <v>1138373.8833363601</v>
      </c>
    </row>
    <row r="77" spans="1:80" x14ac:dyDescent="0.25">
      <c r="A77" s="52">
        <f t="shared" si="24"/>
        <v>60</v>
      </c>
      <c r="B77" s="53">
        <f t="shared" si="25"/>
        <v>60</v>
      </c>
      <c r="C77" s="53" t="s">
        <v>108</v>
      </c>
      <c r="D77" s="53" t="s">
        <v>134</v>
      </c>
      <c r="E77" s="54">
        <v>1976</v>
      </c>
      <c r="F77" s="54">
        <v>2013</v>
      </c>
      <c r="G77" s="54" t="s">
        <v>64</v>
      </c>
      <c r="H77" s="54">
        <v>4</v>
      </c>
      <c r="I77" s="54">
        <v>4</v>
      </c>
      <c r="J77" s="55">
        <v>2991.3</v>
      </c>
      <c r="K77" s="55">
        <v>2484.4</v>
      </c>
      <c r="L77" s="55">
        <v>250.6</v>
      </c>
      <c r="M77" s="56">
        <v>122</v>
      </c>
      <c r="N77" s="57">
        <v>1171020.99</v>
      </c>
      <c r="O77" s="55"/>
      <c r="P77" s="63"/>
      <c r="Q77" s="63"/>
      <c r="R77" s="63">
        <v>230063.63</v>
      </c>
      <c r="S77" s="63">
        <v>940957.36</v>
      </c>
      <c r="T77" s="55">
        <v>0</v>
      </c>
      <c r="U77" s="63">
        <v>428.16123948811702</v>
      </c>
      <c r="V77" s="63">
        <v>428.16123948811702</v>
      </c>
      <c r="W77" s="59">
        <v>2022</v>
      </c>
      <c r="X77" s="6" t="e">
        <v>#REF!</v>
      </c>
      <c r="Z77" s="62">
        <f t="shared" si="29"/>
        <v>37022548.278852001</v>
      </c>
      <c r="AA77" s="55">
        <v>6531079.8989818199</v>
      </c>
      <c r="AB77" s="55">
        <v>0</v>
      </c>
      <c r="AC77" s="55">
        <v>0</v>
      </c>
      <c r="AD77" s="55">
        <v>0</v>
      </c>
      <c r="AE77" s="55">
        <v>1171020.99</v>
      </c>
      <c r="AF77" s="55"/>
      <c r="AG77" s="55">
        <v>0</v>
      </c>
      <c r="AH77" s="55">
        <v>0</v>
      </c>
      <c r="AI77" s="55">
        <v>11939807.781027</v>
      </c>
      <c r="AJ77" s="55">
        <v>0</v>
      </c>
      <c r="AK77" s="55">
        <v>6199203.4736406598</v>
      </c>
      <c r="AL77" s="55">
        <v>6686566.5827221796</v>
      </c>
      <c r="AM77" s="55">
        <v>3445210.5710999998</v>
      </c>
      <c r="AN77" s="63">
        <v>359077.49579999998</v>
      </c>
      <c r="AO77" s="64">
        <v>690581.48558034003</v>
      </c>
      <c r="AP77" s="61">
        <f>+N77-'Приложение №2'!E77</f>
        <v>0</v>
      </c>
      <c r="AQ77" s="1">
        <v>1388531.28</v>
      </c>
      <c r="AR77" s="3">
        <f t="shared" si="30"/>
        <v>304531.20000000001</v>
      </c>
      <c r="AS77" s="3">
        <f>+(K77*10+L77*20)*12*30</f>
        <v>10748160</v>
      </c>
      <c r="AT77" s="6">
        <f t="shared" si="28"/>
        <v>-9807202.6400000006</v>
      </c>
      <c r="AW77" s="62">
        <f t="shared" si="22"/>
        <v>1171020.99</v>
      </c>
      <c r="AX77" s="55"/>
      <c r="AY77" s="55">
        <v>0</v>
      </c>
      <c r="AZ77" s="55">
        <v>0</v>
      </c>
      <c r="BA77" s="55">
        <v>0</v>
      </c>
      <c r="BB77" s="55">
        <v>1171020.99</v>
      </c>
      <c r="BC77" s="55"/>
      <c r="BD77" s="55"/>
      <c r="BE77" s="55">
        <v>0</v>
      </c>
      <c r="BF77" s="55"/>
      <c r="BG77" s="55">
        <v>0</v>
      </c>
      <c r="BH77" s="55"/>
      <c r="BI77" s="55"/>
      <c r="BJ77" s="55"/>
      <c r="BK77" s="63"/>
      <c r="BL77" s="64"/>
      <c r="BM77" s="8">
        <f t="shared" si="23"/>
        <v>1171020.99</v>
      </c>
      <c r="BN77" s="55"/>
      <c r="BO77" s="55">
        <v>0</v>
      </c>
      <c r="BP77" s="55">
        <v>0</v>
      </c>
      <c r="BQ77" s="55">
        <v>0</v>
      </c>
      <c r="BR77" s="55">
        <v>1171020.99</v>
      </c>
      <c r="BS77" s="55"/>
      <c r="BT77" s="55"/>
      <c r="BU77" s="55">
        <v>0</v>
      </c>
      <c r="BV77" s="55"/>
      <c r="BW77" s="55">
        <v>0</v>
      </c>
      <c r="BX77" s="55"/>
      <c r="BY77" s="55"/>
      <c r="BZ77" s="55"/>
      <c r="CA77" s="63"/>
      <c r="CB77" s="64"/>
    </row>
    <row r="78" spans="1:80" x14ac:dyDescent="0.25">
      <c r="A78" s="52">
        <f t="shared" si="24"/>
        <v>61</v>
      </c>
      <c r="B78" s="53">
        <f t="shared" si="25"/>
        <v>61</v>
      </c>
      <c r="C78" s="53" t="s">
        <v>108</v>
      </c>
      <c r="D78" s="53" t="s">
        <v>135</v>
      </c>
      <c r="E78" s="54">
        <v>1977</v>
      </c>
      <c r="F78" s="54">
        <v>1977</v>
      </c>
      <c r="G78" s="54" t="s">
        <v>64</v>
      </c>
      <c r="H78" s="54">
        <v>4</v>
      </c>
      <c r="I78" s="54">
        <v>6</v>
      </c>
      <c r="J78" s="55">
        <v>5672.9</v>
      </c>
      <c r="K78" s="55">
        <v>4964.7</v>
      </c>
      <c r="L78" s="55">
        <v>0</v>
      </c>
      <c r="M78" s="56">
        <v>207</v>
      </c>
      <c r="N78" s="62">
        <v>20719813.758428801</v>
      </c>
      <c r="O78" s="55"/>
      <c r="P78" s="63">
        <v>3593219.09</v>
      </c>
      <c r="Q78" s="63"/>
      <c r="R78" s="63">
        <v>1638227</v>
      </c>
      <c r="S78" s="63">
        <v>11618244.7184288</v>
      </c>
      <c r="T78" s="55">
        <v>3870122.95</v>
      </c>
      <c r="U78" s="63">
        <v>4173.4271473460203</v>
      </c>
      <c r="V78" s="63">
        <v>4173.4271473460203</v>
      </c>
      <c r="W78" s="59">
        <v>2022</v>
      </c>
      <c r="X78" s="6" t="e">
        <v>#REF!</v>
      </c>
      <c r="Z78" s="62">
        <f t="shared" si="29"/>
        <v>40803772.099999994</v>
      </c>
      <c r="AA78" s="55">
        <v>8274934.6457723398</v>
      </c>
      <c r="AB78" s="55">
        <v>4785620.9278290002</v>
      </c>
      <c r="AC78" s="55">
        <v>5058755.6557213198</v>
      </c>
      <c r="AD78" s="55">
        <v>3857344.19215992</v>
      </c>
      <c r="AE78" s="55">
        <v>1540930.0457111399</v>
      </c>
      <c r="AF78" s="55"/>
      <c r="AG78" s="55">
        <v>411179.32298519998</v>
      </c>
      <c r="AH78" s="55">
        <v>0</v>
      </c>
      <c r="AI78" s="55">
        <v>0</v>
      </c>
      <c r="AJ78" s="55">
        <v>0</v>
      </c>
      <c r="AK78" s="55">
        <v>0</v>
      </c>
      <c r="AL78" s="55">
        <v>11247866.888920199</v>
      </c>
      <c r="AM78" s="55">
        <v>4449861.0098000001</v>
      </c>
      <c r="AN78" s="63">
        <v>408037.72100000002</v>
      </c>
      <c r="AO78" s="64">
        <v>769241.69010087999</v>
      </c>
      <c r="AP78" s="61">
        <f>+N78-'Приложение №2'!E78</f>
        <v>0</v>
      </c>
      <c r="AQ78" s="1">
        <f>2390424.58-114155.72</f>
        <v>2276268.86</v>
      </c>
      <c r="AR78" s="3">
        <f t="shared" si="30"/>
        <v>506399.39999999997</v>
      </c>
      <c r="AS78" s="3">
        <f>+(K78*10+L78*20)*12*30</f>
        <v>17872920</v>
      </c>
      <c r="AT78" s="6">
        <f t="shared" si="28"/>
        <v>-6254675.2815712001</v>
      </c>
      <c r="AW78" s="62">
        <f t="shared" si="22"/>
        <v>20719813.758428805</v>
      </c>
      <c r="AX78" s="55">
        <v>7847760.9900000002</v>
      </c>
      <c r="AY78" s="55"/>
      <c r="AZ78" s="55"/>
      <c r="BA78" s="55"/>
      <c r="BB78" s="55"/>
      <c r="BC78" s="55"/>
      <c r="BD78" s="55"/>
      <c r="BE78" s="55">
        <v>0</v>
      </c>
      <c r="BF78" s="55">
        <v>0</v>
      </c>
      <c r="BG78" s="55">
        <v>0</v>
      </c>
      <c r="BH78" s="55">
        <v>0</v>
      </c>
      <c r="BI78" s="55">
        <f>7597182.26+3870122.95</f>
        <v>11467305.210000001</v>
      </c>
      <c r="BJ78" s="55">
        <v>504570.49900000001</v>
      </c>
      <c r="BK78" s="63">
        <v>88504.399000000005</v>
      </c>
      <c r="BL78" s="64">
        <v>811672.66042880004</v>
      </c>
      <c r="BM78" s="8">
        <f t="shared" si="23"/>
        <v>20719813.758428805</v>
      </c>
      <c r="BN78" s="55">
        <v>7847760.9900000002</v>
      </c>
      <c r="BO78" s="55"/>
      <c r="BP78" s="55"/>
      <c r="BQ78" s="55"/>
      <c r="BR78" s="55"/>
      <c r="BS78" s="55"/>
      <c r="BT78" s="55"/>
      <c r="BU78" s="55">
        <v>0</v>
      </c>
      <c r="BV78" s="55">
        <v>0</v>
      </c>
      <c r="BW78" s="55">
        <v>0</v>
      </c>
      <c r="BX78" s="55">
        <v>0</v>
      </c>
      <c r="BY78" s="55">
        <f>7597182.26+3870122.95</f>
        <v>11467305.210000001</v>
      </c>
      <c r="BZ78" s="55">
        <v>504570.49900000001</v>
      </c>
      <c r="CA78" s="63">
        <v>88504.399000000005</v>
      </c>
      <c r="CB78" s="64">
        <v>811672.66042880004</v>
      </c>
    </row>
    <row r="79" spans="1:80" x14ac:dyDescent="0.25">
      <c r="A79" s="52">
        <f t="shared" si="24"/>
        <v>62</v>
      </c>
      <c r="B79" s="53">
        <f t="shared" si="25"/>
        <v>62</v>
      </c>
      <c r="C79" s="53" t="s">
        <v>108</v>
      </c>
      <c r="D79" s="53" t="s">
        <v>136</v>
      </c>
      <c r="E79" s="54">
        <v>1974</v>
      </c>
      <c r="F79" s="54">
        <v>2013</v>
      </c>
      <c r="G79" s="54" t="s">
        <v>64</v>
      </c>
      <c r="H79" s="54">
        <v>4</v>
      </c>
      <c r="I79" s="54">
        <v>4</v>
      </c>
      <c r="J79" s="55">
        <v>3890.5</v>
      </c>
      <c r="K79" s="55">
        <v>3406.6</v>
      </c>
      <c r="L79" s="55">
        <v>0</v>
      </c>
      <c r="M79" s="56">
        <v>175</v>
      </c>
      <c r="N79" s="57">
        <v>15568933.82189</v>
      </c>
      <c r="O79" s="55"/>
      <c r="P79" s="63">
        <v>2144774.35</v>
      </c>
      <c r="Q79" s="63"/>
      <c r="R79" s="63">
        <v>1186883.42</v>
      </c>
      <c r="S79" s="63">
        <v>12237276.051890001</v>
      </c>
      <c r="T79" s="63">
        <v>0</v>
      </c>
      <c r="U79" s="55">
        <v>4570.2265666324201</v>
      </c>
      <c r="V79" s="55">
        <v>4570.2265666324201</v>
      </c>
      <c r="W79" s="59">
        <v>2022</v>
      </c>
      <c r="X79" s="6" t="e">
        <v>#REF!</v>
      </c>
      <c r="Z79" s="62">
        <f t="shared" si="29"/>
        <v>24100395.781890016</v>
      </c>
      <c r="AA79" s="55">
        <v>0</v>
      </c>
      <c r="AB79" s="55">
        <v>0</v>
      </c>
      <c r="AC79" s="55">
        <v>0</v>
      </c>
      <c r="AD79" s="55">
        <v>0</v>
      </c>
      <c r="AE79" s="55">
        <v>1356671.24</v>
      </c>
      <c r="AF79" s="55"/>
      <c r="AG79" s="55">
        <v>0</v>
      </c>
      <c r="AH79" s="55">
        <v>0</v>
      </c>
      <c r="AI79" s="55">
        <v>0</v>
      </c>
      <c r="AJ79" s="55">
        <v>0</v>
      </c>
      <c r="AK79" s="55">
        <v>19641111.6000809</v>
      </c>
      <c r="AL79" s="55">
        <v>0</v>
      </c>
      <c r="AM79" s="55">
        <v>2439179.8220000002</v>
      </c>
      <c r="AN79" s="63">
        <v>227512.61720000001</v>
      </c>
      <c r="AO79" s="64">
        <v>435920.50260911998</v>
      </c>
      <c r="AP79" s="61">
        <f>+N79-'Приложение №2'!E79</f>
        <v>0</v>
      </c>
      <c r="AQ79" s="6">
        <f>1535272.52</f>
        <v>1535272.52</v>
      </c>
      <c r="AR79" s="3">
        <f t="shared" si="30"/>
        <v>347473.2</v>
      </c>
      <c r="AS79" s="3">
        <f>+(K79*10+L79*20)*12*30</f>
        <v>12263760</v>
      </c>
      <c r="AT79" s="6">
        <f t="shared" si="28"/>
        <v>-26483.948109999299</v>
      </c>
      <c r="AW79" s="62">
        <f t="shared" si="22"/>
        <v>15568933.82189</v>
      </c>
      <c r="AX79" s="55">
        <v>0</v>
      </c>
      <c r="AY79" s="55">
        <v>0</v>
      </c>
      <c r="AZ79" s="55">
        <v>0</v>
      </c>
      <c r="BA79" s="55">
        <v>0</v>
      </c>
      <c r="BB79" s="55"/>
      <c r="BC79" s="55"/>
      <c r="BD79" s="55"/>
      <c r="BE79" s="55">
        <v>0</v>
      </c>
      <c r="BF79" s="55">
        <v>0</v>
      </c>
      <c r="BG79" s="55">
        <v>0</v>
      </c>
      <c r="BH79" s="55">
        <v>15562524.65</v>
      </c>
      <c r="BI79" s="55">
        <v>0</v>
      </c>
      <c r="BJ79" s="55"/>
      <c r="BK79" s="63"/>
      <c r="BL79" s="64">
        <v>6409.1718899999996</v>
      </c>
      <c r="BM79" s="8">
        <f t="shared" si="23"/>
        <v>15568933.82189</v>
      </c>
      <c r="BN79" s="55">
        <v>0</v>
      </c>
      <c r="BO79" s="55">
        <v>0</v>
      </c>
      <c r="BP79" s="55">
        <v>0</v>
      </c>
      <c r="BQ79" s="55">
        <v>0</v>
      </c>
      <c r="BR79" s="55"/>
      <c r="BS79" s="55"/>
      <c r="BT79" s="55"/>
      <c r="BU79" s="55">
        <v>0</v>
      </c>
      <c r="BV79" s="55">
        <v>0</v>
      </c>
      <c r="BW79" s="55">
        <v>0</v>
      </c>
      <c r="BX79" s="55">
        <v>15562524.65</v>
      </c>
      <c r="BY79" s="55">
        <v>0</v>
      </c>
      <c r="BZ79" s="55"/>
      <c r="CA79" s="63"/>
      <c r="CB79" s="64">
        <v>6409.1718899999996</v>
      </c>
    </row>
    <row r="80" spans="1:80" x14ac:dyDescent="0.25">
      <c r="A80" s="52">
        <f t="shared" si="24"/>
        <v>63</v>
      </c>
      <c r="B80" s="53">
        <f t="shared" si="25"/>
        <v>63</v>
      </c>
      <c r="C80" s="53" t="s">
        <v>108</v>
      </c>
      <c r="D80" s="53" t="s">
        <v>137</v>
      </c>
      <c r="E80" s="54">
        <v>1978</v>
      </c>
      <c r="F80" s="54">
        <v>2008</v>
      </c>
      <c r="G80" s="54" t="s">
        <v>64</v>
      </c>
      <c r="H80" s="54">
        <v>5</v>
      </c>
      <c r="I80" s="54">
        <v>4</v>
      </c>
      <c r="J80" s="55">
        <v>4887.2</v>
      </c>
      <c r="K80" s="55">
        <v>4152.5</v>
      </c>
      <c r="L80" s="55">
        <v>141.4</v>
      </c>
      <c r="M80" s="56">
        <v>187</v>
      </c>
      <c r="N80" s="62">
        <v>14757670.589566801</v>
      </c>
      <c r="O80" s="55"/>
      <c r="P80" s="63"/>
      <c r="Q80" s="63"/>
      <c r="R80" s="63">
        <v>1507307.99</v>
      </c>
      <c r="S80" s="63">
        <v>8730636.4800000004</v>
      </c>
      <c r="T80" s="55">
        <v>4519726.1195668196</v>
      </c>
      <c r="U80" s="63">
        <v>3436.8920071652401</v>
      </c>
      <c r="V80" s="63">
        <v>3436.8920071652401</v>
      </c>
      <c r="W80" s="59">
        <v>2022</v>
      </c>
      <c r="X80" s="6" t="e">
        <v>#REF!</v>
      </c>
      <c r="Z80" s="62">
        <f t="shared" si="29"/>
        <v>48841397.922002405</v>
      </c>
      <c r="AA80" s="55"/>
      <c r="AB80" s="55">
        <v>4165477.2147311401</v>
      </c>
      <c r="AC80" s="55">
        <v>4403217.8352661803</v>
      </c>
      <c r="AD80" s="55">
        <v>3357491.03180316</v>
      </c>
      <c r="AE80" s="55">
        <v>1341248.93566524</v>
      </c>
      <c r="AF80" s="55"/>
      <c r="AG80" s="55">
        <v>357896.73428460001</v>
      </c>
      <c r="AH80" s="55">
        <v>0</v>
      </c>
      <c r="AI80" s="55"/>
      <c r="AJ80" s="55">
        <v>0</v>
      </c>
      <c r="AK80" s="55">
        <v>24893551.051467001</v>
      </c>
      <c r="AL80" s="55"/>
      <c r="AM80" s="55">
        <v>8041636.4647000004</v>
      </c>
      <c r="AN80" s="63">
        <v>786561.17310000001</v>
      </c>
      <c r="AO80" s="64">
        <v>1494317.4809850799</v>
      </c>
      <c r="AP80" s="61">
        <f>+N80-'Приложение №2'!E80</f>
        <v>-1.862645149230957E-8</v>
      </c>
      <c r="AQ80" s="1">
        <v>1938809.74</v>
      </c>
      <c r="AR80" s="3">
        <f t="shared" si="30"/>
        <v>452400.6</v>
      </c>
      <c r="AS80" s="3">
        <f>+(K80*10+L80*20)*12*30-6800843.52</f>
        <v>9166236.4800000004</v>
      </c>
      <c r="AT80" s="6">
        <f t="shared" si="28"/>
        <v>-435600</v>
      </c>
      <c r="AW80" s="62">
        <f t="shared" si="22"/>
        <v>14757670.589566819</v>
      </c>
      <c r="AX80" s="55"/>
      <c r="AY80" s="55"/>
      <c r="AZ80" s="55">
        <v>1212218.3400000001</v>
      </c>
      <c r="BA80" s="55"/>
      <c r="BB80" s="55"/>
      <c r="BC80" s="55"/>
      <c r="BD80" s="55"/>
      <c r="BE80" s="55">
        <v>0</v>
      </c>
      <c r="BF80" s="55"/>
      <c r="BG80" s="55">
        <v>0</v>
      </c>
      <c r="BH80" s="55">
        <v>12904791.25</v>
      </c>
      <c r="BI80" s="55"/>
      <c r="BJ80" s="55"/>
      <c r="BK80" s="63"/>
      <c r="BL80" s="64">
        <v>640660.99956681998</v>
      </c>
      <c r="BM80" s="8">
        <f t="shared" si="23"/>
        <v>14757670.589566819</v>
      </c>
      <c r="BN80" s="55"/>
      <c r="BO80" s="55"/>
      <c r="BP80" s="55">
        <v>1212218.3400000001</v>
      </c>
      <c r="BQ80" s="55"/>
      <c r="BR80" s="55"/>
      <c r="BS80" s="55"/>
      <c r="BT80" s="55"/>
      <c r="BU80" s="55">
        <v>0</v>
      </c>
      <c r="BV80" s="55"/>
      <c r="BW80" s="55">
        <v>0</v>
      </c>
      <c r="BX80" s="55">
        <v>12904791.25</v>
      </c>
      <c r="BY80" s="55"/>
      <c r="BZ80" s="55"/>
      <c r="CA80" s="63"/>
      <c r="CB80" s="64">
        <v>640660.99956681998</v>
      </c>
    </row>
    <row r="81" spans="1:80" x14ac:dyDescent="0.25">
      <c r="A81" s="52">
        <f t="shared" si="24"/>
        <v>64</v>
      </c>
      <c r="B81" s="53">
        <f t="shared" si="25"/>
        <v>64</v>
      </c>
      <c r="C81" s="53" t="s">
        <v>108</v>
      </c>
      <c r="D81" s="53" t="s">
        <v>138</v>
      </c>
      <c r="E81" s="54">
        <v>1979</v>
      </c>
      <c r="F81" s="54">
        <v>2008</v>
      </c>
      <c r="G81" s="54" t="s">
        <v>64</v>
      </c>
      <c r="H81" s="54">
        <v>5</v>
      </c>
      <c r="I81" s="54">
        <v>4</v>
      </c>
      <c r="J81" s="55">
        <v>4897.1000000000004</v>
      </c>
      <c r="K81" s="55">
        <v>4311.8999999999996</v>
      </c>
      <c r="L81" s="55">
        <v>0</v>
      </c>
      <c r="M81" s="56">
        <v>199</v>
      </c>
      <c r="N81" s="62">
        <v>14905757.1059312</v>
      </c>
      <c r="O81" s="55"/>
      <c r="P81" s="63"/>
      <c r="Q81" s="63"/>
      <c r="R81" s="63">
        <v>1319980.6299999999</v>
      </c>
      <c r="S81" s="63">
        <v>7217514.8399999999</v>
      </c>
      <c r="T81" s="55">
        <v>6368261.6359312199</v>
      </c>
      <c r="U81" s="63">
        <v>3456.8884032401502</v>
      </c>
      <c r="V81" s="63">
        <v>3456.8884032401502</v>
      </c>
      <c r="W81" s="59">
        <v>2022</v>
      </c>
      <c r="X81" s="6" t="e">
        <v>#REF!</v>
      </c>
      <c r="Z81" s="62">
        <f t="shared" si="29"/>
        <v>66063234.6708396</v>
      </c>
      <c r="AA81" s="55">
        <v>7227671.091732</v>
      </c>
      <c r="AB81" s="55">
        <v>4179959.7862247401</v>
      </c>
      <c r="AC81" s="55">
        <v>4418526.9856534796</v>
      </c>
      <c r="AD81" s="55">
        <v>3369164.3891211599</v>
      </c>
      <c r="AE81" s="55">
        <v>1345912.20295434</v>
      </c>
      <c r="AF81" s="55"/>
      <c r="AG81" s="55">
        <v>359141.07311459997</v>
      </c>
      <c r="AH81" s="55">
        <v>0</v>
      </c>
      <c r="AI81" s="55"/>
      <c r="AJ81" s="55">
        <v>0</v>
      </c>
      <c r="AK81" s="55">
        <v>24980101.190715302</v>
      </c>
      <c r="AL81" s="55">
        <v>9824353.4120570999</v>
      </c>
      <c r="AM81" s="55">
        <v>8069595.7041999996</v>
      </c>
      <c r="AN81" s="63">
        <v>789295.89659999998</v>
      </c>
      <c r="AO81" s="64">
        <v>1499512.93846688</v>
      </c>
      <c r="AP81" s="61">
        <f>+N81-'Приложение №2'!E81</f>
        <v>-2.0489096641540527E-8</v>
      </c>
      <c r="AQ81" s="1">
        <v>2090807.65</v>
      </c>
      <c r="AR81" s="3">
        <f t="shared" si="30"/>
        <v>439813.8</v>
      </c>
      <c r="AS81" s="3">
        <f>+(K81*10+L81*20)*12*30-8305325.16</f>
        <v>7217514.8399999999</v>
      </c>
      <c r="AT81" s="6">
        <f t="shared" si="28"/>
        <v>0</v>
      </c>
      <c r="AW81" s="62">
        <f t="shared" si="22"/>
        <v>14905757.105931221</v>
      </c>
      <c r="AX81" s="55"/>
      <c r="AY81" s="55"/>
      <c r="AZ81" s="55">
        <v>1218340.6599999999</v>
      </c>
      <c r="BA81" s="55"/>
      <c r="BB81" s="55"/>
      <c r="BC81" s="55"/>
      <c r="BD81" s="55"/>
      <c r="BE81" s="55">
        <v>0</v>
      </c>
      <c r="BF81" s="55"/>
      <c r="BG81" s="55">
        <v>0</v>
      </c>
      <c r="BH81" s="55">
        <v>13044527.99</v>
      </c>
      <c r="BI81" s="55"/>
      <c r="BJ81" s="55"/>
      <c r="BK81" s="63"/>
      <c r="BL81" s="64">
        <v>642888.45593121997</v>
      </c>
      <c r="BM81" s="8">
        <f t="shared" si="23"/>
        <v>14905757.105931221</v>
      </c>
      <c r="BN81" s="55"/>
      <c r="BO81" s="55"/>
      <c r="BP81" s="55">
        <v>1218340.6599999999</v>
      </c>
      <c r="BQ81" s="55"/>
      <c r="BR81" s="55"/>
      <c r="BS81" s="55"/>
      <c r="BT81" s="55"/>
      <c r="BU81" s="55">
        <v>0</v>
      </c>
      <c r="BV81" s="55"/>
      <c r="BW81" s="55">
        <v>0</v>
      </c>
      <c r="BX81" s="55">
        <v>13044527.99</v>
      </c>
      <c r="BY81" s="55"/>
      <c r="BZ81" s="55"/>
      <c r="CA81" s="63"/>
      <c r="CB81" s="64">
        <v>642888.45593121997</v>
      </c>
    </row>
    <row r="82" spans="1:80" x14ac:dyDescent="0.25">
      <c r="A82" s="52">
        <f t="shared" si="24"/>
        <v>65</v>
      </c>
      <c r="B82" s="53">
        <f t="shared" si="25"/>
        <v>65</v>
      </c>
      <c r="C82" s="53" t="s">
        <v>108</v>
      </c>
      <c r="D82" s="53" t="s">
        <v>139</v>
      </c>
      <c r="E82" s="54">
        <v>1977</v>
      </c>
      <c r="F82" s="54">
        <v>2008</v>
      </c>
      <c r="G82" s="54" t="s">
        <v>64</v>
      </c>
      <c r="H82" s="54">
        <v>4</v>
      </c>
      <c r="I82" s="54">
        <v>4</v>
      </c>
      <c r="J82" s="55">
        <v>3978.4</v>
      </c>
      <c r="K82" s="55">
        <v>3426.4</v>
      </c>
      <c r="L82" s="55">
        <v>0</v>
      </c>
      <c r="M82" s="56">
        <v>156</v>
      </c>
      <c r="N82" s="62">
        <v>9499544.7837940995</v>
      </c>
      <c r="O82" s="55"/>
      <c r="P82" s="63"/>
      <c r="Q82" s="63"/>
      <c r="R82" s="63">
        <v>1804243.37</v>
      </c>
      <c r="S82" s="63">
        <v>7695301.4137941003</v>
      </c>
      <c r="T82" s="55">
        <v>0</v>
      </c>
      <c r="U82" s="63">
        <v>2772.4564510256</v>
      </c>
      <c r="V82" s="63">
        <v>2772.4564510256</v>
      </c>
      <c r="W82" s="59">
        <v>2022</v>
      </c>
      <c r="X82" s="6" t="e">
        <v>#REF!</v>
      </c>
      <c r="Z82" s="62">
        <f t="shared" si="29"/>
        <v>12575637.629999999</v>
      </c>
      <c r="AA82" s="55">
        <v>5842505.20347312</v>
      </c>
      <c r="AB82" s="55">
        <v>0</v>
      </c>
      <c r="AC82" s="55">
        <v>3571726.84810158</v>
      </c>
      <c r="AD82" s="55">
        <v>0</v>
      </c>
      <c r="AE82" s="55">
        <v>1087971.3496965601</v>
      </c>
      <c r="AF82" s="55"/>
      <c r="AG82" s="55">
        <v>290312.54463120003</v>
      </c>
      <c r="AH82" s="55">
        <v>0</v>
      </c>
      <c r="AI82" s="55">
        <v>0</v>
      </c>
      <c r="AJ82" s="55">
        <v>0</v>
      </c>
      <c r="AK82" s="55">
        <v>0</v>
      </c>
      <c r="AL82" s="55">
        <v>0</v>
      </c>
      <c r="AM82" s="55">
        <v>1421354.8426000001</v>
      </c>
      <c r="AN82" s="63">
        <v>125756.3763</v>
      </c>
      <c r="AO82" s="64">
        <v>236010.46519754</v>
      </c>
      <c r="AP82" s="61">
        <f>+N82-'Приложение №2'!E82</f>
        <v>0</v>
      </c>
      <c r="AQ82" s="1">
        <v>1557234.97</v>
      </c>
      <c r="AR82" s="3">
        <f t="shared" si="30"/>
        <v>349492.8</v>
      </c>
      <c r="AS82" s="3">
        <f>+(K82*10+L82*20)*12*30</f>
        <v>12335040</v>
      </c>
      <c r="AT82" s="6">
        <f t="shared" si="28"/>
        <v>-4639738.5862058997</v>
      </c>
      <c r="AW82" s="62">
        <f t="shared" ref="AW82:AW113" si="31">SUBTOTAL(9, AX82:BL82)</f>
        <v>9499544.7837941013</v>
      </c>
      <c r="AX82" s="55">
        <v>6542286.3200000003</v>
      </c>
      <c r="AY82" s="55">
        <v>0</v>
      </c>
      <c r="AZ82" s="55">
        <v>1697416.27</v>
      </c>
      <c r="BA82" s="55">
        <v>0</v>
      </c>
      <c r="BB82" s="55"/>
      <c r="BC82" s="55"/>
      <c r="BD82" s="55"/>
      <c r="BE82" s="55">
        <v>0</v>
      </c>
      <c r="BF82" s="55">
        <v>0</v>
      </c>
      <c r="BG82" s="55">
        <v>0</v>
      </c>
      <c r="BH82" s="55">
        <v>0</v>
      </c>
      <c r="BI82" s="55">
        <v>0</v>
      </c>
      <c r="BJ82" s="55">
        <v>937979.5906</v>
      </c>
      <c r="BK82" s="63">
        <v>109643.8679</v>
      </c>
      <c r="BL82" s="64">
        <v>212218.73529410001</v>
      </c>
      <c r="BM82" s="8">
        <f t="shared" ref="BM82:BM113" si="32">SUBTOTAL(9, BN82:CB82)</f>
        <v>9499544.7837941013</v>
      </c>
      <c r="BN82" s="55">
        <v>6542286.3200000003</v>
      </c>
      <c r="BO82" s="55">
        <v>0</v>
      </c>
      <c r="BP82" s="55">
        <v>1697416.27</v>
      </c>
      <c r="BQ82" s="55">
        <v>0</v>
      </c>
      <c r="BR82" s="55"/>
      <c r="BS82" s="55"/>
      <c r="BT82" s="55"/>
      <c r="BU82" s="55">
        <v>0</v>
      </c>
      <c r="BV82" s="55">
        <v>0</v>
      </c>
      <c r="BW82" s="55">
        <v>0</v>
      </c>
      <c r="BX82" s="55">
        <v>0</v>
      </c>
      <c r="BY82" s="55">
        <v>0</v>
      </c>
      <c r="BZ82" s="55">
        <v>937979.5906</v>
      </c>
      <c r="CA82" s="63">
        <v>109643.8679</v>
      </c>
      <c r="CB82" s="64">
        <v>212218.73529410001</v>
      </c>
    </row>
    <row r="83" spans="1:80" x14ac:dyDescent="0.25">
      <c r="A83" s="52">
        <f t="shared" ref="A83:A114" si="33">+A82+1</f>
        <v>66</v>
      </c>
      <c r="B83" s="53">
        <f t="shared" ref="B83:B114" si="34">+B82+1</f>
        <v>66</v>
      </c>
      <c r="C83" s="53" t="s">
        <v>108</v>
      </c>
      <c r="D83" s="53" t="s">
        <v>140</v>
      </c>
      <c r="E83" s="54">
        <v>1977</v>
      </c>
      <c r="F83" s="54">
        <v>2013</v>
      </c>
      <c r="G83" s="54" t="s">
        <v>64</v>
      </c>
      <c r="H83" s="54">
        <v>5</v>
      </c>
      <c r="I83" s="54">
        <v>4</v>
      </c>
      <c r="J83" s="55">
        <v>3776.9</v>
      </c>
      <c r="K83" s="55">
        <v>3428.1</v>
      </c>
      <c r="L83" s="55">
        <v>0</v>
      </c>
      <c r="M83" s="56">
        <v>165</v>
      </c>
      <c r="N83" s="62">
        <v>6122093.3446254004</v>
      </c>
      <c r="O83" s="55"/>
      <c r="P83" s="63">
        <v>1902810.53</v>
      </c>
      <c r="Q83" s="63"/>
      <c r="R83" s="63">
        <v>1319637.71</v>
      </c>
      <c r="S83" s="63">
        <v>2899645.1046254002</v>
      </c>
      <c r="T83" s="55">
        <v>0</v>
      </c>
      <c r="U83" s="63">
        <v>1785.85611406476</v>
      </c>
      <c r="V83" s="63">
        <v>1785.85611406476</v>
      </c>
      <c r="W83" s="59">
        <v>2022</v>
      </c>
      <c r="X83" s="6" t="e">
        <v>#REF!</v>
      </c>
      <c r="Z83" s="62">
        <f t="shared" si="29"/>
        <v>48865245.616670564</v>
      </c>
      <c r="AA83" s="55">
        <v>5729314.5934642795</v>
      </c>
      <c r="AB83" s="55">
        <v>3313419.2585243401</v>
      </c>
      <c r="AC83" s="55"/>
      <c r="AD83" s="55">
        <v>2670708.5095941601</v>
      </c>
      <c r="AE83" s="55">
        <v>1066893.38019936</v>
      </c>
      <c r="AF83" s="55"/>
      <c r="AG83" s="55">
        <v>284688.13311960001</v>
      </c>
      <c r="AH83" s="55">
        <v>0</v>
      </c>
      <c r="AI83" s="55"/>
      <c r="AJ83" s="55">
        <v>0</v>
      </c>
      <c r="AK83" s="55">
        <v>19801517.854670599</v>
      </c>
      <c r="AL83" s="55">
        <v>7787683.0063746003</v>
      </c>
      <c r="AM83" s="55">
        <v>6396701.2078999998</v>
      </c>
      <c r="AN83" s="63">
        <v>625668.27379999997</v>
      </c>
      <c r="AO83" s="64">
        <v>1188651.3990236199</v>
      </c>
      <c r="AP83" s="61">
        <f>+N83-'Приложение №2'!E83</f>
        <v>0</v>
      </c>
      <c r="AQ83" s="1">
        <v>1720229.27</v>
      </c>
      <c r="AR83" s="3">
        <f t="shared" si="30"/>
        <v>349666.2</v>
      </c>
      <c r="AS83" s="3">
        <f>+(K83*10+L83*20)*12*30</f>
        <v>12341160</v>
      </c>
      <c r="AT83" s="6">
        <f t="shared" si="28"/>
        <v>-9441514.8953745998</v>
      </c>
      <c r="AW83" s="62">
        <f t="shared" si="31"/>
        <v>6122093.3446254004</v>
      </c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>
        <v>5951792.4900000002</v>
      </c>
      <c r="BJ83" s="55"/>
      <c r="BK83" s="63"/>
      <c r="BL83" s="64">
        <v>170300.85462540001</v>
      </c>
      <c r="BM83" s="8">
        <f t="shared" si="32"/>
        <v>6122093.3446254004</v>
      </c>
      <c r="BN83" s="55"/>
      <c r="BO83" s="55"/>
      <c r="BP83" s="55"/>
      <c r="BQ83" s="55"/>
      <c r="BR83" s="55"/>
      <c r="BS83" s="55"/>
      <c r="BT83" s="55"/>
      <c r="BU83" s="55"/>
      <c r="BV83" s="55"/>
      <c r="BW83" s="55"/>
      <c r="BX83" s="55"/>
      <c r="BY83" s="55">
        <v>5951792.4900000002</v>
      </c>
      <c r="BZ83" s="55"/>
      <c r="CA83" s="63"/>
      <c r="CB83" s="64">
        <v>170300.85462540001</v>
      </c>
    </row>
    <row r="84" spans="1:80" x14ac:dyDescent="0.25">
      <c r="A84" s="52">
        <f t="shared" si="33"/>
        <v>67</v>
      </c>
      <c r="B84" s="53">
        <f t="shared" si="34"/>
        <v>67</v>
      </c>
      <c r="C84" s="53" t="s">
        <v>108</v>
      </c>
      <c r="D84" s="53" t="s">
        <v>141</v>
      </c>
      <c r="E84" s="54">
        <v>1978</v>
      </c>
      <c r="F84" s="54">
        <v>2008</v>
      </c>
      <c r="G84" s="54" t="s">
        <v>64</v>
      </c>
      <c r="H84" s="54">
        <v>5</v>
      </c>
      <c r="I84" s="54">
        <v>4</v>
      </c>
      <c r="J84" s="55">
        <v>3883.8</v>
      </c>
      <c r="K84" s="55">
        <v>3458.3</v>
      </c>
      <c r="L84" s="55">
        <v>0</v>
      </c>
      <c r="M84" s="56">
        <v>222</v>
      </c>
      <c r="N84" s="62">
        <v>13180476.834345801</v>
      </c>
      <c r="O84" s="55"/>
      <c r="P84" s="63">
        <v>3368341.02</v>
      </c>
      <c r="Q84" s="63"/>
      <c r="R84" s="63">
        <v>1029202.73</v>
      </c>
      <c r="S84" s="63">
        <v>8782933.0843458008</v>
      </c>
      <c r="T84" s="55">
        <v>0</v>
      </c>
      <c r="U84" s="63">
        <v>3811.2589521862801</v>
      </c>
      <c r="V84" s="63">
        <v>3811.2589521862801</v>
      </c>
      <c r="W84" s="59">
        <v>2022</v>
      </c>
      <c r="X84" s="6" t="e">
        <v>#REF!</v>
      </c>
      <c r="Z84" s="62">
        <f t="shared" si="29"/>
        <v>63420061.129999995</v>
      </c>
      <c r="AA84" s="55">
        <v>5807446.1655264599</v>
      </c>
      <c r="AB84" s="55">
        <v>3358604.8833262799</v>
      </c>
      <c r="AC84" s="55">
        <v>3550294.0375593598</v>
      </c>
      <c r="AD84" s="55">
        <v>2707129.38442632</v>
      </c>
      <c r="AE84" s="55">
        <v>1081442.7754918199</v>
      </c>
      <c r="AF84" s="55"/>
      <c r="AG84" s="55">
        <v>288570.47026919998</v>
      </c>
      <c r="AH84" s="55">
        <v>0</v>
      </c>
      <c r="AI84" s="55">
        <v>10338138.3710934</v>
      </c>
      <c r="AJ84" s="55">
        <v>0</v>
      </c>
      <c r="AK84" s="55">
        <v>20071554.294351</v>
      </c>
      <c r="AL84" s="55">
        <v>7893884.8726541996</v>
      </c>
      <c r="AM84" s="55">
        <v>6483934.0373</v>
      </c>
      <c r="AN84" s="63">
        <v>634200.61129999999</v>
      </c>
      <c r="AO84" s="64">
        <v>1204861.22670196</v>
      </c>
      <c r="AP84" s="61">
        <f>+N84-'Приложение №2'!E84</f>
        <v>0</v>
      </c>
      <c r="AQ84" s="1">
        <v>1653003.71</v>
      </c>
      <c r="AR84" s="3">
        <f t="shared" si="30"/>
        <v>352746.6</v>
      </c>
      <c r="AS84" s="3">
        <f>+(K84*10+L84*20)*12*30</f>
        <v>12449880</v>
      </c>
      <c r="AT84" s="6">
        <f t="shared" si="28"/>
        <v>-3666946.9156541992</v>
      </c>
      <c r="AW84" s="62">
        <f t="shared" si="31"/>
        <v>13180476.834345801</v>
      </c>
      <c r="AX84" s="55"/>
      <c r="AY84" s="55"/>
      <c r="AZ84" s="55"/>
      <c r="BA84" s="55"/>
      <c r="BB84" s="55"/>
      <c r="BC84" s="55"/>
      <c r="BD84" s="55"/>
      <c r="BE84" s="55"/>
      <c r="BF84" s="55">
        <v>8640336.7400000002</v>
      </c>
      <c r="BG84" s="55"/>
      <c r="BH84" s="55"/>
      <c r="BI84" s="55">
        <v>4367516.82</v>
      </c>
      <c r="BJ84" s="55"/>
      <c r="BK84" s="63"/>
      <c r="BL84" s="64">
        <v>172623.27434579999</v>
      </c>
      <c r="BM84" s="8">
        <f t="shared" si="32"/>
        <v>13180476.834345801</v>
      </c>
      <c r="BN84" s="55"/>
      <c r="BO84" s="55"/>
      <c r="BP84" s="55"/>
      <c r="BQ84" s="55"/>
      <c r="BR84" s="55"/>
      <c r="BS84" s="55"/>
      <c r="BT84" s="55"/>
      <c r="BU84" s="55"/>
      <c r="BV84" s="55">
        <v>8640336.7400000002</v>
      </c>
      <c r="BW84" s="55"/>
      <c r="BX84" s="55"/>
      <c r="BY84" s="55">
        <v>4367516.82</v>
      </c>
      <c r="BZ84" s="55"/>
      <c r="CA84" s="63"/>
      <c r="CB84" s="64">
        <v>172623.27434579999</v>
      </c>
    </row>
    <row r="85" spans="1:80" x14ac:dyDescent="0.25">
      <c r="A85" s="52">
        <f t="shared" si="33"/>
        <v>68</v>
      </c>
      <c r="B85" s="53">
        <f t="shared" si="34"/>
        <v>68</v>
      </c>
      <c r="C85" s="53" t="s">
        <v>108</v>
      </c>
      <c r="D85" s="53" t="s">
        <v>142</v>
      </c>
      <c r="E85" s="54">
        <v>1978</v>
      </c>
      <c r="F85" s="54">
        <v>2013</v>
      </c>
      <c r="G85" s="54" t="s">
        <v>64</v>
      </c>
      <c r="H85" s="54">
        <v>5</v>
      </c>
      <c r="I85" s="54">
        <v>4</v>
      </c>
      <c r="J85" s="55">
        <v>4866.6000000000004</v>
      </c>
      <c r="K85" s="55">
        <v>4226.8</v>
      </c>
      <c r="L85" s="55">
        <v>67</v>
      </c>
      <c r="M85" s="56">
        <v>317</v>
      </c>
      <c r="N85" s="62">
        <v>6961640.1664998997</v>
      </c>
      <c r="O85" s="55"/>
      <c r="P85" s="63">
        <v>2801964.8706000098</v>
      </c>
      <c r="Q85" s="63"/>
      <c r="R85" s="63">
        <v>360566.95649990003</v>
      </c>
      <c r="S85" s="63">
        <v>3799108.3393999902</v>
      </c>
      <c r="T85" s="55">
        <v>0</v>
      </c>
      <c r="U85" s="63">
        <v>1621.3238079323401</v>
      </c>
      <c r="V85" s="63">
        <v>1621.3238079323401</v>
      </c>
      <c r="W85" s="59">
        <v>2022</v>
      </c>
      <c r="X85" s="6" t="e">
        <v>#REF!</v>
      </c>
      <c r="Z85" s="62">
        <f t="shared" si="29"/>
        <v>73977525.395146966</v>
      </c>
      <c r="AA85" s="55">
        <v>7175917.2738107396</v>
      </c>
      <c r="AB85" s="55">
        <v>4150029.1384712998</v>
      </c>
      <c r="AC85" s="55"/>
      <c r="AD85" s="55">
        <v>3345039.4506639601</v>
      </c>
      <c r="AE85" s="55">
        <v>1336274.7838902001</v>
      </c>
      <c r="AF85" s="55"/>
      <c r="AG85" s="55">
        <v>356569.43953259999</v>
      </c>
      <c r="AH85" s="55">
        <v>0</v>
      </c>
      <c r="AI85" s="55">
        <v>12774225.313571399</v>
      </c>
      <c r="AJ85" s="55">
        <v>0</v>
      </c>
      <c r="AK85" s="55">
        <v>24801230.902935501</v>
      </c>
      <c r="AL85" s="55">
        <v>9754006.0220001005</v>
      </c>
      <c r="AM85" s="55">
        <v>8011813.2758999998</v>
      </c>
      <c r="AN85" s="63">
        <v>783644.13470000005</v>
      </c>
      <c r="AO85" s="64">
        <v>1488775.6596711599</v>
      </c>
      <c r="AP85" s="61">
        <f>+N85-'Приложение №2'!E85</f>
        <v>0</v>
      </c>
      <c r="AQ85" s="1">
        <f>2064874.72-682951.44</f>
        <v>1381923.28</v>
      </c>
      <c r="AR85" s="3">
        <f t="shared" si="30"/>
        <v>444801.6</v>
      </c>
      <c r="AS85" s="3">
        <f>+(K85*10+L85*20)*12*30-4953727.17</f>
        <v>10745152.83</v>
      </c>
      <c r="AT85" s="6">
        <f t="shared" si="28"/>
        <v>-6946044.4906000104</v>
      </c>
      <c r="AW85" s="62">
        <f t="shared" si="31"/>
        <v>6961640.1664998997</v>
      </c>
      <c r="AX85" s="55"/>
      <c r="AY85" s="55"/>
      <c r="AZ85" s="55"/>
      <c r="BA85" s="55"/>
      <c r="BB85" s="55"/>
      <c r="BC85" s="55"/>
      <c r="BD85" s="55"/>
      <c r="BE85" s="55">
        <v>0</v>
      </c>
      <c r="BF85" s="55"/>
      <c r="BG85" s="55">
        <v>0</v>
      </c>
      <c r="BH85" s="55"/>
      <c r="BI85" s="55">
        <v>6748339.8099999996</v>
      </c>
      <c r="BJ85" s="55"/>
      <c r="BK85" s="63"/>
      <c r="BL85" s="64">
        <v>213300.35649989999</v>
      </c>
      <c r="BM85" s="8">
        <f t="shared" si="32"/>
        <v>6961640.1664998997</v>
      </c>
      <c r="BN85" s="55"/>
      <c r="BO85" s="55"/>
      <c r="BP85" s="55"/>
      <c r="BQ85" s="55"/>
      <c r="BR85" s="55"/>
      <c r="BS85" s="55"/>
      <c r="BT85" s="55"/>
      <c r="BU85" s="55">
        <v>0</v>
      </c>
      <c r="BV85" s="55"/>
      <c r="BW85" s="55">
        <v>0</v>
      </c>
      <c r="BX85" s="55"/>
      <c r="BY85" s="55">
        <v>6748339.8099999996</v>
      </c>
      <c r="BZ85" s="55"/>
      <c r="CA85" s="63"/>
      <c r="CB85" s="64">
        <v>213300.35649989999</v>
      </c>
    </row>
    <row r="86" spans="1:80" x14ac:dyDescent="0.25">
      <c r="A86" s="52">
        <f t="shared" si="33"/>
        <v>69</v>
      </c>
      <c r="B86" s="53">
        <f t="shared" si="34"/>
        <v>69</v>
      </c>
      <c r="C86" s="53" t="s">
        <v>108</v>
      </c>
      <c r="D86" s="53" t="s">
        <v>143</v>
      </c>
      <c r="E86" s="54">
        <v>1981</v>
      </c>
      <c r="F86" s="54">
        <v>2009</v>
      </c>
      <c r="G86" s="54" t="s">
        <v>64</v>
      </c>
      <c r="H86" s="54">
        <v>5</v>
      </c>
      <c r="I86" s="54">
        <v>4</v>
      </c>
      <c r="J86" s="55">
        <v>6938.7</v>
      </c>
      <c r="K86" s="55">
        <v>6182.6</v>
      </c>
      <c r="L86" s="55">
        <v>0</v>
      </c>
      <c r="M86" s="56">
        <v>194</v>
      </c>
      <c r="N86" s="62">
        <v>31419194.676773801</v>
      </c>
      <c r="O86" s="55"/>
      <c r="P86" s="55">
        <v>2786108.66</v>
      </c>
      <c r="Q86" s="63"/>
      <c r="R86" s="63">
        <v>2179383.7799999998</v>
      </c>
      <c r="S86" s="63">
        <v>16449520.216773801</v>
      </c>
      <c r="T86" s="55">
        <v>10004182.02</v>
      </c>
      <c r="U86" s="63">
        <v>5081.8740783446801</v>
      </c>
      <c r="V86" s="63">
        <v>5081.8740783446801</v>
      </c>
      <c r="W86" s="59">
        <v>2022</v>
      </c>
      <c r="X86" s="6" t="e">
        <v>#REF!</v>
      </c>
      <c r="Z86" s="62">
        <f t="shared" si="29"/>
        <v>112490116.45000003</v>
      </c>
      <c r="AA86" s="55">
        <v>10300846.191237399</v>
      </c>
      <c r="AB86" s="55">
        <v>5957260.9616612401</v>
      </c>
      <c r="AC86" s="55">
        <v>6297265.91769912</v>
      </c>
      <c r="AD86" s="55">
        <v>4801718.7991861198</v>
      </c>
      <c r="AE86" s="55">
        <v>1918188.3660231601</v>
      </c>
      <c r="AF86" s="55"/>
      <c r="AG86" s="55">
        <v>511846.3343322</v>
      </c>
      <c r="AH86" s="55">
        <v>0</v>
      </c>
      <c r="AI86" s="55">
        <v>18337074.5641356</v>
      </c>
      <c r="AJ86" s="55">
        <v>0</v>
      </c>
      <c r="AK86" s="55">
        <v>35601534.275782898</v>
      </c>
      <c r="AL86" s="55">
        <v>14001626.8190547</v>
      </c>
      <c r="AM86" s="55">
        <v>11500753.5758</v>
      </c>
      <c r="AN86" s="63">
        <v>1124901.1645</v>
      </c>
      <c r="AO86" s="64">
        <v>2137099.4805875798</v>
      </c>
      <c r="AP86" s="61">
        <f>+N86-'Приложение №2'!E86</f>
        <v>0</v>
      </c>
      <c r="AQ86" s="1">
        <f>2933225.6-137130.98</f>
        <v>2796094.62</v>
      </c>
      <c r="AR86" s="3">
        <f t="shared" si="30"/>
        <v>630625.19999999995</v>
      </c>
      <c r="AS86" s="3">
        <f>+(K86*10+L86*20)*12*30</f>
        <v>22257360</v>
      </c>
      <c r="AT86" s="6">
        <f t="shared" si="28"/>
        <v>-5807839.7832261994</v>
      </c>
      <c r="AW86" s="62">
        <f t="shared" si="31"/>
        <v>31419194.676773801</v>
      </c>
      <c r="AX86" s="55">
        <v>9954639.8599999994</v>
      </c>
      <c r="AY86" s="55">
        <v>6212728.6200000001</v>
      </c>
      <c r="AZ86" s="55"/>
      <c r="BA86" s="55">
        <v>4876418.04</v>
      </c>
      <c r="BB86" s="55"/>
      <c r="BC86" s="55"/>
      <c r="BD86" s="55"/>
      <c r="BE86" s="55">
        <v>0</v>
      </c>
      <c r="BF86" s="55">
        <v>9984420.9700000007</v>
      </c>
      <c r="BG86" s="55">
        <v>0</v>
      </c>
      <c r="BH86" s="55"/>
      <c r="BI86" s="55"/>
      <c r="BJ86" s="55"/>
      <c r="BK86" s="63"/>
      <c r="BL86" s="64">
        <v>390987.1867738</v>
      </c>
      <c r="BM86" s="8">
        <f t="shared" si="32"/>
        <v>31419194.676773801</v>
      </c>
      <c r="BN86" s="55">
        <v>9954639.8599999994</v>
      </c>
      <c r="BO86" s="55">
        <v>6212728.6200000001</v>
      </c>
      <c r="BP86" s="55"/>
      <c r="BQ86" s="55">
        <v>4876418.04</v>
      </c>
      <c r="BR86" s="55"/>
      <c r="BS86" s="55"/>
      <c r="BT86" s="55"/>
      <c r="BU86" s="55">
        <v>0</v>
      </c>
      <c r="BV86" s="55">
        <v>9984420.9700000007</v>
      </c>
      <c r="BW86" s="55">
        <v>0</v>
      </c>
      <c r="BX86" s="55"/>
      <c r="BY86" s="55"/>
      <c r="BZ86" s="55"/>
      <c r="CA86" s="63"/>
      <c r="CB86" s="64">
        <v>390987.1867738</v>
      </c>
    </row>
    <row r="87" spans="1:80" s="69" customFormat="1" x14ac:dyDescent="0.25">
      <c r="A87" s="52">
        <f t="shared" si="33"/>
        <v>70</v>
      </c>
      <c r="B87" s="53">
        <f t="shared" si="34"/>
        <v>70</v>
      </c>
      <c r="C87" s="53" t="s">
        <v>108</v>
      </c>
      <c r="D87" s="53" t="s">
        <v>144</v>
      </c>
      <c r="E87" s="54" t="s">
        <v>122</v>
      </c>
      <c r="F87" s="54"/>
      <c r="G87" s="54" t="s">
        <v>64</v>
      </c>
      <c r="H87" s="54" t="s">
        <v>123</v>
      </c>
      <c r="I87" s="54" t="s">
        <v>145</v>
      </c>
      <c r="J87" s="55">
        <v>8385.68</v>
      </c>
      <c r="K87" s="55">
        <v>7039.3</v>
      </c>
      <c r="L87" s="55">
        <v>0</v>
      </c>
      <c r="M87" s="56">
        <v>255</v>
      </c>
      <c r="N87" s="62">
        <v>9021353.7382023297</v>
      </c>
      <c r="O87" s="55">
        <v>0</v>
      </c>
      <c r="P87" s="63"/>
      <c r="Q87" s="63">
        <v>0</v>
      </c>
      <c r="R87" s="63">
        <v>5101944.1893999996</v>
      </c>
      <c r="S87" s="63">
        <v>3919409.5488023302</v>
      </c>
      <c r="T87" s="55">
        <v>0</v>
      </c>
      <c r="U87" s="63">
        <v>1281.56972116579</v>
      </c>
      <c r="V87" s="63">
        <v>1172.2830200640001</v>
      </c>
      <c r="W87" s="59">
        <v>2022</v>
      </c>
      <c r="X87" s="69">
        <v>3214815.68</v>
      </c>
      <c r="Y87" s="69">
        <f>+(K87*12.08+L87*20.47)*12</f>
        <v>1020416.9280000001</v>
      </c>
      <c r="AA87" s="70" t="e">
        <v>#REF!</v>
      </c>
      <c r="AD87" s="70" t="e">
        <v>#REF!</v>
      </c>
      <c r="AP87" s="61">
        <f>+N87-'Приложение №2'!E87</f>
        <v>0</v>
      </c>
      <c r="AQ87" s="69">
        <v>4147710.76</v>
      </c>
      <c r="AR87" s="3">
        <f>+(K87*13.29+L87*22.52)*12*0.85</f>
        <v>954233.42939999979</v>
      </c>
      <c r="AS87" s="3">
        <f>+(K87*13.29+L87*22.52)*12*30</f>
        <v>33678826.919999994</v>
      </c>
      <c r="AT87" s="6">
        <f t="shared" ref="AT87:AT118" si="35">+S87-AS87</f>
        <v>-29759417.371197663</v>
      </c>
      <c r="AW87" s="62">
        <f t="shared" si="31"/>
        <v>9021353.7382023316</v>
      </c>
      <c r="AX87" s="62"/>
      <c r="AY87" s="62"/>
      <c r="AZ87" s="62"/>
      <c r="BA87" s="62"/>
      <c r="BB87" s="62"/>
      <c r="BC87" s="62"/>
      <c r="BD87" s="62"/>
      <c r="BE87" s="62">
        <v>8608489.9199999999</v>
      </c>
      <c r="BF87" s="62"/>
      <c r="BG87" s="62"/>
      <c r="BH87" s="62"/>
      <c r="BI87" s="62"/>
      <c r="BJ87" s="62">
        <v>162285.00531609601</v>
      </c>
      <c r="BK87" s="62">
        <v>24000</v>
      </c>
      <c r="BL87" s="62">
        <v>226578.812886236</v>
      </c>
      <c r="BM87" s="8">
        <f t="shared" si="32"/>
        <v>9021353.7382023316</v>
      </c>
      <c r="BN87" s="62"/>
      <c r="BO87" s="62"/>
      <c r="BP87" s="62"/>
      <c r="BQ87" s="62"/>
      <c r="BR87" s="62"/>
      <c r="BS87" s="62"/>
      <c r="BT87" s="62"/>
      <c r="BU87" s="62">
        <v>8608489.9199999999</v>
      </c>
      <c r="BV87" s="62"/>
      <c r="BW87" s="62"/>
      <c r="BX87" s="62"/>
      <c r="BY87" s="62"/>
      <c r="BZ87" s="62">
        <v>162285.00531609601</v>
      </c>
      <c r="CA87" s="62">
        <v>24000</v>
      </c>
      <c r="CB87" s="62">
        <v>226578.812886236</v>
      </c>
    </row>
    <row r="88" spans="1:80" x14ac:dyDescent="0.25">
      <c r="A88" s="52">
        <f t="shared" si="33"/>
        <v>71</v>
      </c>
      <c r="B88" s="53">
        <f t="shared" si="34"/>
        <v>71</v>
      </c>
      <c r="C88" s="53" t="s">
        <v>108</v>
      </c>
      <c r="D88" s="53" t="s">
        <v>146</v>
      </c>
      <c r="E88" s="54">
        <v>1990</v>
      </c>
      <c r="F88" s="54">
        <v>2005</v>
      </c>
      <c r="G88" s="54" t="s">
        <v>64</v>
      </c>
      <c r="H88" s="54">
        <v>5</v>
      </c>
      <c r="I88" s="54">
        <v>4</v>
      </c>
      <c r="J88" s="55">
        <v>4982</v>
      </c>
      <c r="K88" s="55">
        <v>4404.6000000000004</v>
      </c>
      <c r="L88" s="55">
        <v>0</v>
      </c>
      <c r="M88" s="56">
        <v>212</v>
      </c>
      <c r="N88" s="62">
        <v>29481765.911612201</v>
      </c>
      <c r="O88" s="55"/>
      <c r="P88" s="63">
        <v>8060872.4299999997</v>
      </c>
      <c r="Q88" s="63"/>
      <c r="R88" s="63">
        <v>2550477</v>
      </c>
      <c r="S88" s="63">
        <v>16238030.8016122</v>
      </c>
      <c r="T88" s="55">
        <v>2632385.6800000002</v>
      </c>
      <c r="U88" s="63">
        <v>6693.4036942315197</v>
      </c>
      <c r="V88" s="63">
        <v>6693.4036942315197</v>
      </c>
      <c r="W88" s="59">
        <v>2022</v>
      </c>
      <c r="X88" s="6" t="e">
        <v>#REF!</v>
      </c>
      <c r="Z88" s="62">
        <f t="shared" ref="Z88:Z121" si="36">SUM(AA88:AO88)</f>
        <v>49032236.019999966</v>
      </c>
      <c r="AA88" s="55">
        <v>0</v>
      </c>
      <c r="AB88" s="55">
        <v>0</v>
      </c>
      <c r="AC88" s="55">
        <v>4479661.5288129598</v>
      </c>
      <c r="AD88" s="55">
        <v>0</v>
      </c>
      <c r="AE88" s="55">
        <v>0</v>
      </c>
      <c r="AF88" s="55"/>
      <c r="AG88" s="55">
        <v>0</v>
      </c>
      <c r="AH88" s="55">
        <v>0</v>
      </c>
      <c r="AI88" s="55">
        <v>13044373.2933948</v>
      </c>
      <c r="AJ88" s="55">
        <v>0</v>
      </c>
      <c r="AK88" s="55">
        <v>25325724.749393001</v>
      </c>
      <c r="AL88" s="55">
        <v>0</v>
      </c>
      <c r="AM88" s="55">
        <v>4755116.6317999996</v>
      </c>
      <c r="AN88" s="63">
        <v>490322.3602</v>
      </c>
      <c r="AO88" s="64">
        <v>937037.45639920002</v>
      </c>
      <c r="AP88" s="61">
        <f>+N88-'Приложение №2'!E88</f>
        <v>4.4703483581542969E-8</v>
      </c>
      <c r="AQ88" s="1">
        <f>2210839.58-109631.78</f>
        <v>2101207.8000000003</v>
      </c>
      <c r="AR88" s="3">
        <f t="shared" ref="AR88:AR111" si="37">+(K88*10+L88*20)*12*0.85</f>
        <v>449269.2</v>
      </c>
      <c r="AS88" s="3">
        <f>+(K88*10+L88*20)*12*30-126359.21</f>
        <v>15730200.789999999</v>
      </c>
      <c r="AT88" s="6">
        <f t="shared" si="35"/>
        <v>507830.01161220111</v>
      </c>
      <c r="AW88" s="62">
        <f t="shared" si="31"/>
        <v>29481765.911612157</v>
      </c>
      <c r="AX88" s="55">
        <v>0</v>
      </c>
      <c r="AY88" s="55">
        <v>0</v>
      </c>
      <c r="AZ88" s="55"/>
      <c r="BA88" s="55">
        <v>0</v>
      </c>
      <c r="BB88" s="55">
        <v>0</v>
      </c>
      <c r="BC88" s="55"/>
      <c r="BD88" s="55"/>
      <c r="BE88" s="55">
        <v>0</v>
      </c>
      <c r="BF88" s="55">
        <v>12527051.33</v>
      </c>
      <c r="BG88" s="55">
        <v>0</v>
      </c>
      <c r="BH88" s="55">
        <v>16115638.25</v>
      </c>
      <c r="BI88" s="55">
        <v>0</v>
      </c>
      <c r="BJ88" s="55"/>
      <c r="BK88" s="63"/>
      <c r="BL88" s="64">
        <v>839076.33161215996</v>
      </c>
      <c r="BM88" s="8">
        <f t="shared" si="32"/>
        <v>29481765.911612157</v>
      </c>
      <c r="BN88" s="55">
        <v>0</v>
      </c>
      <c r="BO88" s="55">
        <v>0</v>
      </c>
      <c r="BP88" s="55"/>
      <c r="BQ88" s="55">
        <v>0</v>
      </c>
      <c r="BR88" s="55">
        <v>0</v>
      </c>
      <c r="BS88" s="55"/>
      <c r="BT88" s="55"/>
      <c r="BU88" s="55">
        <v>0</v>
      </c>
      <c r="BV88" s="55">
        <v>12527051.33</v>
      </c>
      <c r="BW88" s="55">
        <v>0</v>
      </c>
      <c r="BX88" s="55">
        <v>16115638.25</v>
      </c>
      <c r="BY88" s="55">
        <v>0</v>
      </c>
      <c r="BZ88" s="55"/>
      <c r="CA88" s="63"/>
      <c r="CB88" s="64">
        <v>839076.33161215996</v>
      </c>
    </row>
    <row r="89" spans="1:80" x14ac:dyDescent="0.25">
      <c r="A89" s="52">
        <f t="shared" si="33"/>
        <v>72</v>
      </c>
      <c r="B89" s="53">
        <f t="shared" si="34"/>
        <v>72</v>
      </c>
      <c r="C89" s="53" t="s">
        <v>108</v>
      </c>
      <c r="D89" s="53" t="s">
        <v>147</v>
      </c>
      <c r="E89" s="54">
        <v>1970</v>
      </c>
      <c r="F89" s="54">
        <v>2013</v>
      </c>
      <c r="G89" s="54" t="s">
        <v>64</v>
      </c>
      <c r="H89" s="54">
        <v>5</v>
      </c>
      <c r="I89" s="54">
        <v>4</v>
      </c>
      <c r="J89" s="55">
        <v>3068</v>
      </c>
      <c r="K89" s="55">
        <v>2483.8000000000002</v>
      </c>
      <c r="L89" s="55">
        <v>584.20000000000005</v>
      </c>
      <c r="M89" s="56">
        <v>142</v>
      </c>
      <c r="N89" s="62">
        <v>1195255.9053653199</v>
      </c>
      <c r="O89" s="55"/>
      <c r="P89" s="63"/>
      <c r="Q89" s="63"/>
      <c r="R89" s="63">
        <v>138246.74536532001</v>
      </c>
      <c r="S89" s="55">
        <v>1057009.1599999999</v>
      </c>
      <c r="T89" s="55"/>
      <c r="U89" s="63">
        <v>389.5879743694</v>
      </c>
      <c r="V89" s="63">
        <v>389.5879743694</v>
      </c>
      <c r="W89" s="59">
        <v>2022</v>
      </c>
      <c r="X89" s="6" t="e">
        <v>#REF!</v>
      </c>
      <c r="Z89" s="62">
        <f t="shared" si="36"/>
        <v>25875618.41</v>
      </c>
      <c r="AA89" s="55">
        <v>5945419.54417866</v>
      </c>
      <c r="AB89" s="55">
        <v>2118597.4078747798</v>
      </c>
      <c r="AC89" s="55">
        <v>2213462.8846331402</v>
      </c>
      <c r="AD89" s="55">
        <v>1385767.7235401999</v>
      </c>
      <c r="AE89" s="55">
        <v>0</v>
      </c>
      <c r="AF89" s="55"/>
      <c r="AG89" s="55">
        <v>228142.02967667999</v>
      </c>
      <c r="AH89" s="55">
        <v>0</v>
      </c>
      <c r="AI89" s="55">
        <v>10869131.540912401</v>
      </c>
      <c r="AJ89" s="55">
        <v>0</v>
      </c>
      <c r="AK89" s="55">
        <v>0</v>
      </c>
      <c r="AL89" s="55">
        <v>0</v>
      </c>
      <c r="AM89" s="55">
        <v>2358614.5957999998</v>
      </c>
      <c r="AN89" s="63">
        <v>258756.18410000001</v>
      </c>
      <c r="AO89" s="64">
        <v>497726.49928414001</v>
      </c>
      <c r="AP89" s="61">
        <f>+N89-'Приложение №2'!E89</f>
        <v>0</v>
      </c>
      <c r="AQ89" s="1">
        <v>504168.77</v>
      </c>
      <c r="AR89" s="3">
        <f t="shared" si="37"/>
        <v>372524.39999999997</v>
      </c>
      <c r="AS89" s="3">
        <f>+(K89*10+L89*20)*12*30</f>
        <v>13147920</v>
      </c>
      <c r="AT89" s="6">
        <f t="shared" si="35"/>
        <v>-12090910.84</v>
      </c>
      <c r="AW89" s="62">
        <f t="shared" si="31"/>
        <v>1195255.9053653199</v>
      </c>
      <c r="AX89" s="55"/>
      <c r="AZ89" s="55">
        <v>1057009.1599999999</v>
      </c>
      <c r="BA89" s="55"/>
      <c r="BB89" s="55">
        <v>0</v>
      </c>
      <c r="BC89" s="55"/>
      <c r="BD89" s="55"/>
      <c r="BE89" s="55">
        <v>0</v>
      </c>
      <c r="BG89" s="55">
        <v>0</v>
      </c>
      <c r="BH89" s="55">
        <v>0</v>
      </c>
      <c r="BI89" s="55">
        <v>0</v>
      </c>
      <c r="BJ89" s="55"/>
      <c r="BK89" s="63"/>
      <c r="BL89" s="64">
        <v>138246.74536532001</v>
      </c>
      <c r="BM89" s="8">
        <f t="shared" si="32"/>
        <v>1195255.9053653199</v>
      </c>
      <c r="BN89" s="55"/>
      <c r="BP89" s="55">
        <v>1057009.1599999999</v>
      </c>
      <c r="BQ89" s="55"/>
      <c r="BR89" s="55">
        <v>0</v>
      </c>
      <c r="BS89" s="55"/>
      <c r="BT89" s="55"/>
      <c r="BU89" s="55">
        <v>0</v>
      </c>
      <c r="BW89" s="55">
        <v>0</v>
      </c>
      <c r="BX89" s="55">
        <v>0</v>
      </c>
      <c r="BY89" s="55">
        <v>0</v>
      </c>
      <c r="BZ89" s="55"/>
      <c r="CA89" s="63"/>
      <c r="CB89" s="64">
        <v>138246.74536532001</v>
      </c>
    </row>
    <row r="90" spans="1:80" x14ac:dyDescent="0.25">
      <c r="A90" s="52">
        <f t="shared" si="33"/>
        <v>73</v>
      </c>
      <c r="B90" s="53">
        <f t="shared" si="34"/>
        <v>73</v>
      </c>
      <c r="C90" s="53" t="s">
        <v>108</v>
      </c>
      <c r="D90" s="53" t="s">
        <v>148</v>
      </c>
      <c r="E90" s="54">
        <v>1996</v>
      </c>
      <c r="F90" s="54"/>
      <c r="G90" s="54" t="s">
        <v>64</v>
      </c>
      <c r="H90" s="54">
        <v>5</v>
      </c>
      <c r="I90" s="54">
        <v>2</v>
      </c>
      <c r="J90" s="55">
        <v>3019</v>
      </c>
      <c r="K90" s="55">
        <v>2443.9</v>
      </c>
      <c r="L90" s="55">
        <v>0</v>
      </c>
      <c r="M90" s="56">
        <v>97</v>
      </c>
      <c r="N90" s="62">
        <v>5574102.9828846604</v>
      </c>
      <c r="O90" s="55"/>
      <c r="P90" s="63">
        <v>421112.51</v>
      </c>
      <c r="Q90" s="63"/>
      <c r="R90" s="63">
        <v>1310388.0900000001</v>
      </c>
      <c r="S90" s="63">
        <v>3842602.3828846598</v>
      </c>
      <c r="T90" s="55">
        <v>0</v>
      </c>
      <c r="U90" s="63">
        <v>2280.8228580893901</v>
      </c>
      <c r="V90" s="63">
        <v>2280.8228580893901</v>
      </c>
      <c r="W90" s="59">
        <v>2022</v>
      </c>
      <c r="X90" s="6" t="e">
        <v>#REF!</v>
      </c>
      <c r="Z90" s="62">
        <f t="shared" si="36"/>
        <v>42710518.470000021</v>
      </c>
      <c r="AA90" s="55">
        <v>4563184.2077858401</v>
      </c>
      <c r="AB90" s="55">
        <v>2639014.1793057001</v>
      </c>
      <c r="AC90" s="55">
        <v>2789633.3844447602</v>
      </c>
      <c r="AD90" s="55">
        <v>2127119.1704859599</v>
      </c>
      <c r="AE90" s="55">
        <v>849740.56339410006</v>
      </c>
      <c r="AF90" s="55"/>
      <c r="AG90" s="55">
        <v>226743.42160259999</v>
      </c>
      <c r="AH90" s="55">
        <v>0</v>
      </c>
      <c r="AI90" s="55">
        <v>8123162.6588364001</v>
      </c>
      <c r="AJ90" s="55">
        <v>0</v>
      </c>
      <c r="AK90" s="55">
        <v>15771166.374696201</v>
      </c>
      <c r="AL90" s="55">
        <v>0</v>
      </c>
      <c r="AM90" s="55">
        <v>4382571.3064000001</v>
      </c>
      <c r="AN90" s="63">
        <v>427105.18469999998</v>
      </c>
      <c r="AO90" s="64">
        <v>811078.01834845997</v>
      </c>
      <c r="AP90" s="61">
        <f>+N90-'Приложение №2'!E90</f>
        <v>0</v>
      </c>
      <c r="AQ90" s="1">
        <v>1738823.16</v>
      </c>
      <c r="AR90" s="3">
        <f t="shared" si="37"/>
        <v>249277.8</v>
      </c>
      <c r="AS90" s="3">
        <f>+(K90*10+L90*20)*12*30</f>
        <v>8798040</v>
      </c>
      <c r="AT90" s="6">
        <f t="shared" si="35"/>
        <v>-4955437.6171153402</v>
      </c>
      <c r="AW90" s="62">
        <f t="shared" si="31"/>
        <v>5574102.9828846604</v>
      </c>
      <c r="AX90" s="55">
        <v>1651323.46</v>
      </c>
      <c r="AY90" s="55"/>
      <c r="AZ90" s="55">
        <v>819773.26</v>
      </c>
      <c r="BA90" s="55">
        <v>732192.34</v>
      </c>
      <c r="BB90" s="55"/>
      <c r="BC90" s="55"/>
      <c r="BD90" s="55"/>
      <c r="BE90" s="55">
        <v>0</v>
      </c>
      <c r="BF90" s="55"/>
      <c r="BG90" s="55">
        <v>0</v>
      </c>
      <c r="BH90" s="55">
        <v>1813665.02</v>
      </c>
      <c r="BI90" s="55">
        <v>0</v>
      </c>
      <c r="BJ90" s="55"/>
      <c r="BK90" s="63"/>
      <c r="BL90" s="64">
        <v>557148.90288466006</v>
      </c>
      <c r="BM90" s="8">
        <f t="shared" si="32"/>
        <v>5574102.9828846604</v>
      </c>
      <c r="BN90" s="55">
        <v>1651323.46</v>
      </c>
      <c r="BO90" s="55"/>
      <c r="BP90" s="55">
        <v>819773.26</v>
      </c>
      <c r="BQ90" s="55">
        <v>732192.34</v>
      </c>
      <c r="BR90" s="55"/>
      <c r="BS90" s="55"/>
      <c r="BT90" s="55"/>
      <c r="BU90" s="55">
        <v>0</v>
      </c>
      <c r="BV90" s="55"/>
      <c r="BW90" s="55">
        <v>0</v>
      </c>
      <c r="BX90" s="55">
        <v>1813665.02</v>
      </c>
      <c r="BY90" s="55">
        <v>0</v>
      </c>
      <c r="BZ90" s="55"/>
      <c r="CA90" s="63"/>
      <c r="CB90" s="64">
        <v>557148.90288466006</v>
      </c>
    </row>
    <row r="91" spans="1:80" x14ac:dyDescent="0.25">
      <c r="A91" s="52">
        <f t="shared" si="33"/>
        <v>74</v>
      </c>
      <c r="B91" s="53">
        <f t="shared" si="34"/>
        <v>74</v>
      </c>
      <c r="C91" s="53" t="s">
        <v>108</v>
      </c>
      <c r="D91" s="53" t="s">
        <v>149</v>
      </c>
      <c r="E91" s="54">
        <v>1982</v>
      </c>
      <c r="F91" s="54">
        <v>2013</v>
      </c>
      <c r="G91" s="54" t="s">
        <v>64</v>
      </c>
      <c r="H91" s="54">
        <v>5</v>
      </c>
      <c r="I91" s="54">
        <v>4</v>
      </c>
      <c r="J91" s="55">
        <v>4923.8999999999996</v>
      </c>
      <c r="K91" s="55">
        <v>4353.2</v>
      </c>
      <c r="L91" s="55">
        <v>0</v>
      </c>
      <c r="M91" s="56">
        <v>184</v>
      </c>
      <c r="N91" s="62">
        <v>2006872.768622</v>
      </c>
      <c r="O91" s="55"/>
      <c r="P91" s="63"/>
      <c r="Q91" s="63"/>
      <c r="R91" s="63">
        <v>2006872.768622</v>
      </c>
      <c r="S91" s="63">
        <v>0</v>
      </c>
      <c r="T91" s="55">
        <v>0</v>
      </c>
      <c r="U91" s="63">
        <v>461.01092727694601</v>
      </c>
      <c r="V91" s="63">
        <v>461.01092727694601</v>
      </c>
      <c r="W91" s="59">
        <v>2022</v>
      </c>
      <c r="X91" s="6" t="e">
        <v>#REF!</v>
      </c>
      <c r="Z91" s="62">
        <f t="shared" si="36"/>
        <v>2003612.24</v>
      </c>
      <c r="AA91" s="55">
        <v>0</v>
      </c>
      <c r="AB91" s="55">
        <v>0</v>
      </c>
      <c r="AC91" s="55">
        <v>0</v>
      </c>
      <c r="AD91" s="55">
        <v>0</v>
      </c>
      <c r="AE91" s="55">
        <v>1857825.9394380001</v>
      </c>
      <c r="AF91" s="55"/>
      <c r="AG91" s="55">
        <v>0</v>
      </c>
      <c r="AH91" s="55">
        <v>0</v>
      </c>
      <c r="AI91" s="55">
        <v>0</v>
      </c>
      <c r="AJ91" s="55">
        <v>0</v>
      </c>
      <c r="AK91" s="55">
        <v>0</v>
      </c>
      <c r="AL91" s="55">
        <v>0</v>
      </c>
      <c r="AM91" s="55">
        <v>99984.47</v>
      </c>
      <c r="AN91" s="55">
        <v>5174.9399999999996</v>
      </c>
      <c r="AO91" s="64">
        <v>40626.890562000001</v>
      </c>
      <c r="AP91" s="61">
        <f>+N91-'Приложение №2'!E91</f>
        <v>0</v>
      </c>
      <c r="AQ91" s="1">
        <v>2027227.26</v>
      </c>
      <c r="AR91" s="3">
        <f t="shared" si="37"/>
        <v>444026.39999999997</v>
      </c>
      <c r="AS91" s="3">
        <f>+(K91*10+L91*20)*12*30</f>
        <v>15671520</v>
      </c>
      <c r="AT91" s="6">
        <f t="shared" si="35"/>
        <v>-15671520</v>
      </c>
      <c r="AW91" s="62">
        <f t="shared" si="31"/>
        <v>2006872.7686219998</v>
      </c>
      <c r="AX91" s="55">
        <v>0</v>
      </c>
      <c r="AY91" s="55">
        <v>0</v>
      </c>
      <c r="AZ91" s="55">
        <v>0</v>
      </c>
      <c r="BA91" s="55">
        <v>0</v>
      </c>
      <c r="BB91" s="55">
        <v>1842675.65</v>
      </c>
      <c r="BC91" s="55"/>
      <c r="BD91" s="55"/>
      <c r="BE91" s="55">
        <v>0</v>
      </c>
      <c r="BF91" s="55">
        <v>0</v>
      </c>
      <c r="BG91" s="55">
        <v>0</v>
      </c>
      <c r="BH91" s="55">
        <v>0</v>
      </c>
      <c r="BI91" s="55">
        <v>0</v>
      </c>
      <c r="BJ91" s="55">
        <v>123984.47</v>
      </c>
      <c r="BK91" s="55"/>
      <c r="BL91" s="64">
        <v>40212.648622000001</v>
      </c>
      <c r="BM91" s="8">
        <f t="shared" si="32"/>
        <v>2006872.7686219998</v>
      </c>
      <c r="BN91" s="55">
        <v>0</v>
      </c>
      <c r="BO91" s="55">
        <v>0</v>
      </c>
      <c r="BP91" s="55">
        <v>0</v>
      </c>
      <c r="BQ91" s="55">
        <v>0</v>
      </c>
      <c r="BR91" s="55">
        <v>1842675.65</v>
      </c>
      <c r="BS91" s="55"/>
      <c r="BT91" s="55"/>
      <c r="BU91" s="55">
        <v>0</v>
      </c>
      <c r="BV91" s="55">
        <v>0</v>
      </c>
      <c r="BW91" s="55">
        <v>0</v>
      </c>
      <c r="BX91" s="55">
        <v>0</v>
      </c>
      <c r="BY91" s="55">
        <v>0</v>
      </c>
      <c r="BZ91" s="55">
        <v>123984.47</v>
      </c>
      <c r="CA91" s="55"/>
      <c r="CB91" s="64">
        <v>40212.648622000001</v>
      </c>
    </row>
    <row r="92" spans="1:80" x14ac:dyDescent="0.25">
      <c r="A92" s="52">
        <f t="shared" si="33"/>
        <v>75</v>
      </c>
      <c r="B92" s="53">
        <f t="shared" si="34"/>
        <v>75</v>
      </c>
      <c r="C92" s="53" t="s">
        <v>108</v>
      </c>
      <c r="D92" s="53" t="s">
        <v>150</v>
      </c>
      <c r="E92" s="54">
        <v>1981</v>
      </c>
      <c r="F92" s="54">
        <v>2013</v>
      </c>
      <c r="G92" s="54" t="s">
        <v>64</v>
      </c>
      <c r="H92" s="54">
        <v>5</v>
      </c>
      <c r="I92" s="54">
        <v>4</v>
      </c>
      <c r="J92" s="55">
        <v>4944.1000000000004</v>
      </c>
      <c r="K92" s="55">
        <v>4354.8999999999996</v>
      </c>
      <c r="L92" s="55">
        <v>0</v>
      </c>
      <c r="M92" s="56">
        <v>212</v>
      </c>
      <c r="N92" s="62">
        <v>2008071.8906700001</v>
      </c>
      <c r="O92" s="55"/>
      <c r="P92" s="63"/>
      <c r="Q92" s="63"/>
      <c r="R92" s="63">
        <v>2008071.8906700001</v>
      </c>
      <c r="S92" s="63">
        <v>0</v>
      </c>
      <c r="T92" s="55">
        <v>0</v>
      </c>
      <c r="U92" s="63">
        <v>461.106314879791</v>
      </c>
      <c r="V92" s="63">
        <v>461.106314879791</v>
      </c>
      <c r="W92" s="59">
        <v>2022</v>
      </c>
      <c r="X92" s="6" t="e">
        <v>#REF!</v>
      </c>
      <c r="Z92" s="62">
        <f t="shared" si="36"/>
        <v>2005269.7100000002</v>
      </c>
      <c r="AA92" s="55">
        <v>0</v>
      </c>
      <c r="AB92" s="55">
        <v>0</v>
      </c>
      <c r="AC92" s="55">
        <v>0</v>
      </c>
      <c r="AD92" s="55">
        <v>0</v>
      </c>
      <c r="AE92" s="55">
        <v>1855611.122988</v>
      </c>
      <c r="AF92" s="55"/>
      <c r="AG92" s="55">
        <v>0</v>
      </c>
      <c r="AH92" s="55">
        <v>0</v>
      </c>
      <c r="AI92" s="55">
        <v>0</v>
      </c>
      <c r="AJ92" s="55">
        <v>0</v>
      </c>
      <c r="AK92" s="55">
        <v>0</v>
      </c>
      <c r="AL92" s="55">
        <v>0</v>
      </c>
      <c r="AM92" s="55">
        <v>103902.76</v>
      </c>
      <c r="AN92" s="55">
        <v>5177.37</v>
      </c>
      <c r="AO92" s="64">
        <v>40578.457011999999</v>
      </c>
      <c r="AP92" s="61">
        <f>+N92-'Приложение №2'!E92</f>
        <v>0</v>
      </c>
      <c r="AQ92" s="1">
        <v>2139968.2200000002</v>
      </c>
      <c r="AR92" s="3">
        <f t="shared" si="37"/>
        <v>444199.8</v>
      </c>
      <c r="AS92" s="3">
        <f>+(K92*10+L92*20)*12*30</f>
        <v>15677640</v>
      </c>
      <c r="AT92" s="6">
        <f t="shared" si="35"/>
        <v>-15677640</v>
      </c>
      <c r="AW92" s="62">
        <f t="shared" si="31"/>
        <v>2008071.8906700001</v>
      </c>
      <c r="AX92" s="55">
        <v>0</v>
      </c>
      <c r="AY92" s="55">
        <v>0</v>
      </c>
      <c r="AZ92" s="55">
        <v>0</v>
      </c>
      <c r="BA92" s="55">
        <v>0</v>
      </c>
      <c r="BB92" s="55">
        <v>1840005.31</v>
      </c>
      <c r="BC92" s="55"/>
      <c r="BD92" s="55"/>
      <c r="BE92" s="55">
        <v>0</v>
      </c>
      <c r="BF92" s="55">
        <v>0</v>
      </c>
      <c r="BG92" s="55">
        <v>0</v>
      </c>
      <c r="BH92" s="55">
        <v>0</v>
      </c>
      <c r="BI92" s="55">
        <v>0</v>
      </c>
      <c r="BJ92" s="55">
        <v>127902.76</v>
      </c>
      <c r="BK92" s="55"/>
      <c r="BL92" s="64">
        <v>40163.820670000001</v>
      </c>
      <c r="BM92" s="8">
        <f t="shared" si="32"/>
        <v>2008071.8906700001</v>
      </c>
      <c r="BN92" s="55">
        <v>0</v>
      </c>
      <c r="BO92" s="55">
        <v>0</v>
      </c>
      <c r="BP92" s="55">
        <v>0</v>
      </c>
      <c r="BQ92" s="55">
        <v>0</v>
      </c>
      <c r="BR92" s="55">
        <v>1840005.31</v>
      </c>
      <c r="BS92" s="55"/>
      <c r="BT92" s="55"/>
      <c r="BU92" s="55">
        <v>0</v>
      </c>
      <c r="BV92" s="55">
        <v>0</v>
      </c>
      <c r="BW92" s="55">
        <v>0</v>
      </c>
      <c r="BX92" s="55">
        <v>0</v>
      </c>
      <c r="BY92" s="55">
        <v>0</v>
      </c>
      <c r="BZ92" s="55">
        <v>127902.76</v>
      </c>
      <c r="CA92" s="55"/>
      <c r="CB92" s="64">
        <v>40163.820670000001</v>
      </c>
    </row>
    <row r="93" spans="1:80" x14ac:dyDescent="0.25">
      <c r="A93" s="52">
        <f t="shared" si="33"/>
        <v>76</v>
      </c>
      <c r="B93" s="53">
        <f t="shared" si="34"/>
        <v>76</v>
      </c>
      <c r="C93" s="53" t="s">
        <v>108</v>
      </c>
      <c r="D93" s="53" t="s">
        <v>151</v>
      </c>
      <c r="E93" s="54">
        <v>1985</v>
      </c>
      <c r="F93" s="54">
        <v>2013</v>
      </c>
      <c r="G93" s="54" t="s">
        <v>64</v>
      </c>
      <c r="H93" s="54">
        <v>5</v>
      </c>
      <c r="I93" s="54">
        <v>4</v>
      </c>
      <c r="J93" s="55">
        <v>4831.5</v>
      </c>
      <c r="K93" s="55">
        <v>4248.8999999999996</v>
      </c>
      <c r="L93" s="55">
        <v>0</v>
      </c>
      <c r="M93" s="56">
        <v>185</v>
      </c>
      <c r="N93" s="62">
        <v>2179061.42</v>
      </c>
      <c r="O93" s="55"/>
      <c r="P93" s="63"/>
      <c r="Q93" s="63"/>
      <c r="R93" s="63">
        <v>1146251.6499999999</v>
      </c>
      <c r="S93" s="63">
        <v>1032809.77</v>
      </c>
      <c r="T93" s="55"/>
      <c r="U93" s="63">
        <v>512.85307255995701</v>
      </c>
      <c r="V93" s="63">
        <v>512.85307255995701</v>
      </c>
      <c r="W93" s="59">
        <v>2022</v>
      </c>
      <c r="X93" s="6" t="e">
        <v>#REF!</v>
      </c>
      <c r="Z93" s="62">
        <f t="shared" si="36"/>
        <v>14731405.994299399</v>
      </c>
      <c r="AA93" s="55">
        <v>0</v>
      </c>
      <c r="AB93" s="55">
        <v>0</v>
      </c>
      <c r="AC93" s="55">
        <v>0</v>
      </c>
      <c r="AD93" s="55">
        <v>0</v>
      </c>
      <c r="AE93" s="55">
        <v>1320450.7628806201</v>
      </c>
      <c r="AF93" s="55"/>
      <c r="AG93" s="55">
        <v>0</v>
      </c>
      <c r="AH93" s="55">
        <v>0</v>
      </c>
      <c r="AI93" s="55"/>
      <c r="AJ93" s="55">
        <v>0</v>
      </c>
      <c r="AK93" s="55">
        <v>0</v>
      </c>
      <c r="AL93" s="55">
        <v>9638500.1460678</v>
      </c>
      <c r="AM93" s="55">
        <v>2983222.9761000001</v>
      </c>
      <c r="AN93" s="63">
        <v>273543.60320000001</v>
      </c>
      <c r="AO93" s="64">
        <v>515688.50605098001</v>
      </c>
      <c r="AP93" s="61" t="s">
        <v>152</v>
      </c>
      <c r="AQ93" s="1">
        <f>2031310.17-1377300.63</f>
        <v>654009.54</v>
      </c>
      <c r="AR93" s="3">
        <f t="shared" si="37"/>
        <v>433387.8</v>
      </c>
      <c r="AS93" s="3">
        <f>+(K93*10+L93*20)*12*30-4430181.56</f>
        <v>10865858.440000001</v>
      </c>
      <c r="AT93" s="6">
        <f t="shared" si="35"/>
        <v>-9833048.6700000018</v>
      </c>
      <c r="AW93" s="62">
        <f t="shared" si="31"/>
        <v>2179061.4200000004</v>
      </c>
      <c r="AX93" s="55">
        <v>0</v>
      </c>
      <c r="AY93" s="55">
        <v>0</v>
      </c>
      <c r="AZ93" s="55">
        <v>0</v>
      </c>
      <c r="BA93" s="55">
        <v>0</v>
      </c>
      <c r="BB93" s="55">
        <v>1980515.44</v>
      </c>
      <c r="BC93" s="55"/>
      <c r="BD93" s="55"/>
      <c r="BE93" s="55">
        <v>0</v>
      </c>
      <c r="BF93" s="55"/>
      <c r="BG93" s="55">
        <v>0</v>
      </c>
      <c r="BH93" s="55">
        <v>0</v>
      </c>
      <c r="BI93" s="55"/>
      <c r="BJ93" s="55">
        <v>123857.99</v>
      </c>
      <c r="BK93" s="63"/>
      <c r="BL93" s="64">
        <v>74687.990000000005</v>
      </c>
      <c r="BM93" s="8">
        <f t="shared" si="32"/>
        <v>2179061.4200000004</v>
      </c>
      <c r="BN93" s="55">
        <v>0</v>
      </c>
      <c r="BO93" s="55">
        <v>0</v>
      </c>
      <c r="BP93" s="55">
        <v>0</v>
      </c>
      <c r="BQ93" s="55">
        <v>0</v>
      </c>
      <c r="BR93" s="55">
        <v>1980515.44</v>
      </c>
      <c r="BS93" s="55"/>
      <c r="BT93" s="55"/>
      <c r="BU93" s="55">
        <v>0</v>
      </c>
      <c r="BV93" s="55"/>
      <c r="BW93" s="55">
        <v>0</v>
      </c>
      <c r="BX93" s="55">
        <v>0</v>
      </c>
      <c r="BY93" s="55"/>
      <c r="BZ93" s="55">
        <v>123857.99</v>
      </c>
      <c r="CA93" s="63"/>
      <c r="CB93" s="64">
        <v>74687.990000000005</v>
      </c>
    </row>
    <row r="94" spans="1:80" x14ac:dyDescent="0.25">
      <c r="A94" s="52">
        <f t="shared" si="33"/>
        <v>77</v>
      </c>
      <c r="B94" s="53">
        <f t="shared" si="34"/>
        <v>77</v>
      </c>
      <c r="C94" s="53" t="s">
        <v>108</v>
      </c>
      <c r="D94" s="53" t="s">
        <v>153</v>
      </c>
      <c r="E94" s="54">
        <v>1973</v>
      </c>
      <c r="F94" s="54">
        <v>2013</v>
      </c>
      <c r="G94" s="54" t="s">
        <v>64</v>
      </c>
      <c r="H94" s="54">
        <v>4</v>
      </c>
      <c r="I94" s="54">
        <v>4</v>
      </c>
      <c r="J94" s="55">
        <v>2799.6</v>
      </c>
      <c r="K94" s="55">
        <v>1950.2</v>
      </c>
      <c r="L94" s="55">
        <v>849.4</v>
      </c>
      <c r="M94" s="56">
        <v>97</v>
      </c>
      <c r="N94" s="62">
        <v>856186.02</v>
      </c>
      <c r="O94" s="55"/>
      <c r="P94" s="63"/>
      <c r="Q94" s="63"/>
      <c r="S94" s="63">
        <v>856186.02</v>
      </c>
      <c r="T94" s="55"/>
      <c r="U94" s="63">
        <v>305.82441063008997</v>
      </c>
      <c r="V94" s="63">
        <v>305.82441063008997</v>
      </c>
      <c r="W94" s="59">
        <v>2022</v>
      </c>
      <c r="X94" s="6" t="e">
        <v>#REF!</v>
      </c>
      <c r="Z94" s="62">
        <f t="shared" si="36"/>
        <v>12055712.754182</v>
      </c>
      <c r="AA94" s="55">
        <v>0</v>
      </c>
      <c r="AB94" s="55">
        <v>0</v>
      </c>
      <c r="AC94" s="55">
        <v>0</v>
      </c>
      <c r="AD94" s="55">
        <v>0</v>
      </c>
      <c r="AE94" s="55">
        <v>855198.98</v>
      </c>
      <c r="AF94" s="55"/>
      <c r="AG94" s="55">
        <v>0</v>
      </c>
      <c r="AH94" s="55">
        <v>0</v>
      </c>
      <c r="AI94" s="55">
        <v>0</v>
      </c>
      <c r="AJ94" s="55">
        <v>0</v>
      </c>
      <c r="AK94" s="55">
        <v>4622378.1154139396</v>
      </c>
      <c r="AL94" s="55">
        <v>4985775.8594565596</v>
      </c>
      <c r="AM94" s="55">
        <v>1265941.365</v>
      </c>
      <c r="AN94" s="63">
        <v>113650.91250000001</v>
      </c>
      <c r="AO94" s="64">
        <v>212767.52181149999</v>
      </c>
      <c r="AP94" s="61">
        <f>+N94-'Приложение №2'!E94</f>
        <v>0</v>
      </c>
      <c r="AQ94" s="1">
        <v>1792695.27</v>
      </c>
      <c r="AR94" s="3">
        <f t="shared" si="37"/>
        <v>372198</v>
      </c>
      <c r="AS94" s="3">
        <f>+(K94*10+L94*20)*12*30</f>
        <v>13136400</v>
      </c>
      <c r="AT94" s="6">
        <f t="shared" si="35"/>
        <v>-12280213.98</v>
      </c>
      <c r="AW94" s="62">
        <f t="shared" si="31"/>
        <v>856186.02</v>
      </c>
      <c r="AX94" s="55">
        <v>0</v>
      </c>
      <c r="AY94" s="55">
        <v>0</v>
      </c>
      <c r="AZ94" s="55">
        <v>0</v>
      </c>
      <c r="BA94" s="55">
        <v>0</v>
      </c>
      <c r="BB94" s="55">
        <v>856186.02</v>
      </c>
      <c r="BC94" s="55"/>
      <c r="BD94" s="55"/>
      <c r="BE94" s="55">
        <v>0</v>
      </c>
      <c r="BF94" s="55">
        <v>0</v>
      </c>
      <c r="BG94" s="55">
        <v>0</v>
      </c>
      <c r="BH94" s="55"/>
      <c r="BI94" s="55"/>
      <c r="BJ94" s="55"/>
      <c r="BK94" s="63"/>
      <c r="BL94" s="64"/>
      <c r="BM94" s="8">
        <f t="shared" si="32"/>
        <v>856186.02</v>
      </c>
      <c r="BN94" s="55">
        <v>0</v>
      </c>
      <c r="BO94" s="55">
        <v>0</v>
      </c>
      <c r="BP94" s="55">
        <v>0</v>
      </c>
      <c r="BQ94" s="55">
        <v>0</v>
      </c>
      <c r="BR94" s="55">
        <v>856186.02</v>
      </c>
      <c r="BS94" s="55"/>
      <c r="BT94" s="55"/>
      <c r="BU94" s="55">
        <v>0</v>
      </c>
      <c r="BV94" s="55">
        <v>0</v>
      </c>
      <c r="BW94" s="55">
        <v>0</v>
      </c>
      <c r="BX94" s="55"/>
      <c r="BY94" s="55"/>
      <c r="BZ94" s="55"/>
      <c r="CA94" s="63"/>
      <c r="CB94" s="64"/>
    </row>
    <row r="95" spans="1:80" x14ac:dyDescent="0.25">
      <c r="A95" s="52">
        <f t="shared" si="33"/>
        <v>78</v>
      </c>
      <c r="B95" s="53">
        <f t="shared" si="34"/>
        <v>78</v>
      </c>
      <c r="C95" s="53" t="s">
        <v>108</v>
      </c>
      <c r="D95" s="53" t="s">
        <v>154</v>
      </c>
      <c r="E95" s="54">
        <v>1976</v>
      </c>
      <c r="F95" s="54">
        <v>2013</v>
      </c>
      <c r="G95" s="54" t="s">
        <v>64</v>
      </c>
      <c r="H95" s="54">
        <v>4</v>
      </c>
      <c r="I95" s="54">
        <v>6</v>
      </c>
      <c r="J95" s="55">
        <v>5727.3</v>
      </c>
      <c r="K95" s="55">
        <v>4928.1000000000004</v>
      </c>
      <c r="L95" s="55">
        <v>70.7</v>
      </c>
      <c r="M95" s="56">
        <v>234</v>
      </c>
      <c r="N95" s="62">
        <v>2296257.4311859999</v>
      </c>
      <c r="O95" s="55"/>
      <c r="P95" s="63">
        <v>1556194.47</v>
      </c>
      <c r="Q95" s="63"/>
      <c r="R95" s="63">
        <v>274059.371186</v>
      </c>
      <c r="S95" s="63">
        <v>466003.59</v>
      </c>
      <c r="T95" s="55">
        <v>0</v>
      </c>
      <c r="U95" s="63">
        <v>459.36173305313298</v>
      </c>
      <c r="V95" s="63">
        <v>459.36173305313298</v>
      </c>
      <c r="W95" s="59">
        <v>2022</v>
      </c>
      <c r="X95" s="6" t="e">
        <v>#REF!</v>
      </c>
      <c r="Z95" s="62">
        <f t="shared" si="36"/>
        <v>8101376.7311859997</v>
      </c>
      <c r="AA95" s="55">
        <v>0</v>
      </c>
      <c r="AB95" s="55">
        <v>0</v>
      </c>
      <c r="AC95" s="55">
        <v>5108867.6053762203</v>
      </c>
      <c r="AD95" s="55">
        <v>0</v>
      </c>
      <c r="AE95" s="55">
        <v>2022198.06</v>
      </c>
      <c r="AF95" s="55"/>
      <c r="AG95" s="55">
        <v>0</v>
      </c>
      <c r="AH95" s="55">
        <v>0</v>
      </c>
      <c r="AI95" s="55">
        <v>0</v>
      </c>
      <c r="AJ95" s="55">
        <v>0</v>
      </c>
      <c r="AK95" s="55">
        <v>0</v>
      </c>
      <c r="AL95" s="55">
        <v>0</v>
      </c>
      <c r="AM95" s="55">
        <v>786081.95299999998</v>
      </c>
      <c r="AN95" s="63">
        <v>60658.294300000001</v>
      </c>
      <c r="AO95" s="64">
        <v>123570.81850978</v>
      </c>
      <c r="AP95" s="61">
        <f>+N95-'Приложение №2'!E95</f>
        <v>0</v>
      </c>
      <c r="AQ95" s="1">
        <f>2269068.63-1153662.35-337091.58</f>
        <v>778314.69999999972</v>
      </c>
      <c r="AR95" s="3">
        <f t="shared" si="37"/>
        <v>517089</v>
      </c>
      <c r="AS95" s="3">
        <f>+(K95*10+L95*20)*12*30-1213002.672-2895880.10928442</f>
        <v>14141317.218715582</v>
      </c>
      <c r="AT95" s="6">
        <f t="shared" si="35"/>
        <v>-13675313.628715582</v>
      </c>
      <c r="AW95" s="62">
        <f t="shared" si="31"/>
        <v>2296257.4311860004</v>
      </c>
      <c r="AX95" s="55">
        <v>0</v>
      </c>
      <c r="AY95" s="55">
        <v>0</v>
      </c>
      <c r="AZ95" s="55"/>
      <c r="BA95" s="55">
        <v>0</v>
      </c>
      <c r="BB95" s="55">
        <v>2082908.19</v>
      </c>
      <c r="BC95" s="55"/>
      <c r="BD95" s="55"/>
      <c r="BE95" s="55">
        <v>0</v>
      </c>
      <c r="BF95" s="55">
        <v>0</v>
      </c>
      <c r="BG95" s="55">
        <v>0</v>
      </c>
      <c r="BH95" s="55">
        <v>0</v>
      </c>
      <c r="BI95" s="55">
        <v>0</v>
      </c>
      <c r="BJ95" s="55">
        <v>199499.01</v>
      </c>
      <c r="BK95" s="63">
        <v>2000</v>
      </c>
      <c r="BL95" s="64">
        <v>11850.231186000001</v>
      </c>
      <c r="BM95" s="8">
        <f t="shared" si="32"/>
        <v>2296257.4311860004</v>
      </c>
      <c r="BN95" s="55">
        <v>0</v>
      </c>
      <c r="BO95" s="55">
        <v>0</v>
      </c>
      <c r="BP95" s="55"/>
      <c r="BQ95" s="55">
        <v>0</v>
      </c>
      <c r="BR95" s="55">
        <v>2082908.19</v>
      </c>
      <c r="BS95" s="55"/>
      <c r="BT95" s="55"/>
      <c r="BU95" s="55">
        <v>0</v>
      </c>
      <c r="BV95" s="55">
        <v>0</v>
      </c>
      <c r="BW95" s="55">
        <v>0</v>
      </c>
      <c r="BX95" s="55">
        <v>0</v>
      </c>
      <c r="BY95" s="55">
        <v>0</v>
      </c>
      <c r="BZ95" s="55">
        <v>199499.01</v>
      </c>
      <c r="CA95" s="63">
        <v>2000</v>
      </c>
      <c r="CB95" s="64">
        <v>11850.231186000001</v>
      </c>
    </row>
    <row r="96" spans="1:80" x14ac:dyDescent="0.25">
      <c r="A96" s="52">
        <f t="shared" si="33"/>
        <v>79</v>
      </c>
      <c r="B96" s="53">
        <f t="shared" si="34"/>
        <v>79</v>
      </c>
      <c r="C96" s="53" t="s">
        <v>108</v>
      </c>
      <c r="D96" s="53" t="s">
        <v>155</v>
      </c>
      <c r="E96" s="54">
        <v>1979</v>
      </c>
      <c r="F96" s="54">
        <v>2013</v>
      </c>
      <c r="G96" s="54" t="s">
        <v>64</v>
      </c>
      <c r="H96" s="54">
        <v>4</v>
      </c>
      <c r="I96" s="54">
        <v>6</v>
      </c>
      <c r="J96" s="55">
        <v>5599.1</v>
      </c>
      <c r="K96" s="55">
        <v>5005.8999999999996</v>
      </c>
      <c r="L96" s="55">
        <v>0</v>
      </c>
      <c r="M96" s="56">
        <v>207</v>
      </c>
      <c r="N96" s="62">
        <v>16801922.477244601</v>
      </c>
      <c r="O96" s="55"/>
      <c r="P96" s="63"/>
      <c r="Q96" s="63"/>
      <c r="R96" s="63">
        <v>2768356.94</v>
      </c>
      <c r="S96" s="63">
        <v>14033565.537244599</v>
      </c>
      <c r="T96" s="55">
        <v>0</v>
      </c>
      <c r="U96" s="63">
        <v>3356.4239152289401</v>
      </c>
      <c r="V96" s="63">
        <v>3356.4239152289401</v>
      </c>
      <c r="W96" s="59">
        <v>2022</v>
      </c>
      <c r="X96" s="6" t="e">
        <v>#REF!</v>
      </c>
      <c r="Z96" s="62">
        <f t="shared" si="36"/>
        <v>28192630.469999995</v>
      </c>
      <c r="AA96" s="55">
        <v>8364919.5107259601</v>
      </c>
      <c r="AB96" s="55">
        <v>4837661.63124552</v>
      </c>
      <c r="AC96" s="55">
        <v>5113766.53872588</v>
      </c>
      <c r="AD96" s="55">
        <v>3899290.4561226</v>
      </c>
      <c r="AE96" s="55">
        <v>1557686.7201785401</v>
      </c>
      <c r="AF96" s="55"/>
      <c r="AG96" s="55">
        <v>415650.64718099998</v>
      </c>
      <c r="AH96" s="55">
        <v>0</v>
      </c>
      <c r="AI96" s="55">
        <v>0</v>
      </c>
      <c r="AJ96" s="55">
        <v>0</v>
      </c>
      <c r="AK96" s="55">
        <v>0</v>
      </c>
      <c r="AL96" s="55">
        <v>0</v>
      </c>
      <c r="AM96" s="55">
        <v>3192764.7577999998</v>
      </c>
      <c r="AN96" s="63">
        <v>281926.30469999998</v>
      </c>
      <c r="AO96" s="64">
        <v>528963.90332050005</v>
      </c>
      <c r="AP96" s="61">
        <f>+N96-'Приложение №2'!E96</f>
        <v>4.0978193283081055E-8</v>
      </c>
      <c r="AQ96" s="1">
        <v>2371814.14</v>
      </c>
      <c r="AR96" s="3">
        <f t="shared" si="37"/>
        <v>510601.8</v>
      </c>
      <c r="AS96" s="3">
        <f>+(K96*10+L96*20)*12*30-3198417.38</f>
        <v>14822822.620000001</v>
      </c>
      <c r="AT96" s="6">
        <f t="shared" si="35"/>
        <v>-789257.08275540173</v>
      </c>
      <c r="AW96" s="62">
        <f t="shared" si="31"/>
        <v>16801922.47724456</v>
      </c>
      <c r="AX96" s="55">
        <v>8268601.6299999999</v>
      </c>
      <c r="AY96" s="55"/>
      <c r="AZ96" s="55">
        <v>3198417.38</v>
      </c>
      <c r="BA96" s="55">
        <v>2797224.34</v>
      </c>
      <c r="BB96" s="55"/>
      <c r="BC96" s="55"/>
      <c r="BD96" s="55"/>
      <c r="BE96" s="55">
        <v>0</v>
      </c>
      <c r="BF96" s="55">
        <v>0</v>
      </c>
      <c r="BG96" s="55">
        <v>0</v>
      </c>
      <c r="BH96" s="55">
        <v>0</v>
      </c>
      <c r="BI96" s="55">
        <v>0</v>
      </c>
      <c r="BJ96" s="55">
        <v>1945255.4768000001</v>
      </c>
      <c r="BK96" s="63">
        <v>203313.06280000001</v>
      </c>
      <c r="BL96" s="64">
        <v>389110.58764455997</v>
      </c>
      <c r="BM96" s="8">
        <f t="shared" si="32"/>
        <v>16801922.47724456</v>
      </c>
      <c r="BN96" s="55">
        <v>8268601.6299999999</v>
      </c>
      <c r="BO96" s="55"/>
      <c r="BP96" s="55">
        <v>3198417.38</v>
      </c>
      <c r="BQ96" s="55">
        <v>2797224.34</v>
      </c>
      <c r="BR96" s="55"/>
      <c r="BS96" s="55"/>
      <c r="BT96" s="55"/>
      <c r="BU96" s="55">
        <v>0</v>
      </c>
      <c r="BV96" s="55">
        <v>0</v>
      </c>
      <c r="BW96" s="55">
        <v>0</v>
      </c>
      <c r="BX96" s="55">
        <v>0</v>
      </c>
      <c r="BY96" s="55">
        <v>0</v>
      </c>
      <c r="BZ96" s="55">
        <v>1945255.4768000001</v>
      </c>
      <c r="CA96" s="63">
        <v>203313.06280000001</v>
      </c>
      <c r="CB96" s="64">
        <v>389110.58764455997</v>
      </c>
    </row>
    <row r="97" spans="1:80" x14ac:dyDescent="0.25">
      <c r="A97" s="52">
        <f t="shared" si="33"/>
        <v>80</v>
      </c>
      <c r="B97" s="53">
        <f t="shared" si="34"/>
        <v>80</v>
      </c>
      <c r="C97" s="53" t="s">
        <v>108</v>
      </c>
      <c r="D97" s="53" t="s">
        <v>156</v>
      </c>
      <c r="E97" s="54">
        <v>1976</v>
      </c>
      <c r="F97" s="54">
        <v>2013</v>
      </c>
      <c r="G97" s="54" t="s">
        <v>64</v>
      </c>
      <c r="H97" s="54">
        <v>4</v>
      </c>
      <c r="I97" s="54">
        <v>6</v>
      </c>
      <c r="J97" s="55">
        <v>5761.37</v>
      </c>
      <c r="K97" s="55">
        <v>4953.17</v>
      </c>
      <c r="L97" s="55">
        <v>0</v>
      </c>
      <c r="M97" s="56">
        <v>208</v>
      </c>
      <c r="N97" s="57">
        <v>6920739.4009156805</v>
      </c>
      <c r="O97" s="55"/>
      <c r="P97" s="63"/>
      <c r="Q97" s="63"/>
      <c r="R97" s="63">
        <v>3001913.74</v>
      </c>
      <c r="S97" s="63">
        <v>3918825.6609156802</v>
      </c>
      <c r="T97" s="63">
        <v>9.3132257461547893E-10</v>
      </c>
      <c r="U97" s="55">
        <v>1397.2343773615</v>
      </c>
      <c r="V97" s="55">
        <v>1397.2343773615</v>
      </c>
      <c r="W97" s="59">
        <v>2022</v>
      </c>
      <c r="X97" s="6" t="e">
        <v>#REF!</v>
      </c>
      <c r="Z97" s="62">
        <f t="shared" si="36"/>
        <v>18855188.25</v>
      </c>
      <c r="AA97" s="55">
        <v>0</v>
      </c>
      <c r="AB97" s="55">
        <v>4852018.68955818</v>
      </c>
      <c r="AC97" s="55">
        <v>5128943.0079808198</v>
      </c>
      <c r="AD97" s="55">
        <v>3910862.6451854398</v>
      </c>
      <c r="AE97" s="55">
        <v>1562309.5679603999</v>
      </c>
      <c r="AF97" s="55"/>
      <c r="AG97" s="55">
        <v>416884.20653627999</v>
      </c>
      <c r="AH97" s="55">
        <v>0</v>
      </c>
      <c r="AI97" s="55">
        <v>0</v>
      </c>
      <c r="AJ97" s="55">
        <v>0</v>
      </c>
      <c r="AK97" s="55">
        <v>0</v>
      </c>
      <c r="AL97" s="55">
        <v>0</v>
      </c>
      <c r="AM97" s="55">
        <v>2448551.2283000001</v>
      </c>
      <c r="AN97" s="63">
        <v>188551.88250000001</v>
      </c>
      <c r="AO97" s="64">
        <v>347067.02197887999</v>
      </c>
      <c r="AP97" s="61">
        <f>+N97-'Приложение №2'!E97</f>
        <v>0</v>
      </c>
      <c r="AQ97" s="1">
        <f>2496690.4</f>
        <v>2496690.4</v>
      </c>
      <c r="AR97" s="3">
        <f t="shared" si="37"/>
        <v>505223.33999999991</v>
      </c>
      <c r="AS97" s="3">
        <f>+(K97*10+L97*20)*12*30</f>
        <v>17831411.999999996</v>
      </c>
      <c r="AT97" s="6">
        <f t="shared" si="35"/>
        <v>-13912586.339084316</v>
      </c>
      <c r="AW97" s="62">
        <f t="shared" si="31"/>
        <v>6920739.4009156777</v>
      </c>
      <c r="AX97" s="55">
        <v>0</v>
      </c>
      <c r="AY97" s="55"/>
      <c r="AZ97" s="55">
        <v>3491728.21</v>
      </c>
      <c r="BA97" s="55"/>
      <c r="BB97" s="55"/>
      <c r="BC97" s="55"/>
      <c r="BD97" s="55"/>
      <c r="BE97" s="55">
        <v>0</v>
      </c>
      <c r="BF97" s="55">
        <v>0</v>
      </c>
      <c r="BG97" s="55">
        <v>0</v>
      </c>
      <c r="BH97" s="55">
        <v>0</v>
      </c>
      <c r="BI97" s="55"/>
      <c r="BJ97" s="55">
        <v>2595059.9045922202</v>
      </c>
      <c r="BK97" s="63">
        <v>223901.30645922199</v>
      </c>
      <c r="BL97" s="64">
        <v>610049.97986423504</v>
      </c>
      <c r="BM97" s="8">
        <f t="shared" si="32"/>
        <v>6920739.4009156777</v>
      </c>
      <c r="BN97" s="55">
        <v>0</v>
      </c>
      <c r="BO97" s="55"/>
      <c r="BP97" s="55">
        <v>3491728.21</v>
      </c>
      <c r="BQ97" s="55"/>
      <c r="BR97" s="55"/>
      <c r="BS97" s="55"/>
      <c r="BT97" s="55"/>
      <c r="BU97" s="55">
        <v>0</v>
      </c>
      <c r="BV97" s="55">
        <v>0</v>
      </c>
      <c r="BW97" s="55">
        <v>0</v>
      </c>
      <c r="BX97" s="55">
        <v>0</v>
      </c>
      <c r="BY97" s="55"/>
      <c r="BZ97" s="55">
        <v>2595059.9045922202</v>
      </c>
      <c r="CA97" s="63">
        <v>223901.30645922199</v>
      </c>
      <c r="CB97" s="64">
        <v>610049.97986423504</v>
      </c>
    </row>
    <row r="98" spans="1:80" x14ac:dyDescent="0.25">
      <c r="A98" s="52">
        <f t="shared" si="33"/>
        <v>81</v>
      </c>
      <c r="B98" s="53">
        <f t="shared" si="34"/>
        <v>81</v>
      </c>
      <c r="C98" s="53" t="s">
        <v>108</v>
      </c>
      <c r="D98" s="53" t="s">
        <v>157</v>
      </c>
      <c r="E98" s="54">
        <v>1964</v>
      </c>
      <c r="F98" s="54">
        <v>1978</v>
      </c>
      <c r="G98" s="54" t="s">
        <v>64</v>
      </c>
      <c r="H98" s="54">
        <v>4</v>
      </c>
      <c r="I98" s="54">
        <v>4</v>
      </c>
      <c r="J98" s="55">
        <v>2691.4</v>
      </c>
      <c r="K98" s="55">
        <v>2511.6</v>
      </c>
      <c r="L98" s="55">
        <v>55</v>
      </c>
      <c r="M98" s="56">
        <v>136</v>
      </c>
      <c r="N98" s="62">
        <v>10029177.534309</v>
      </c>
      <c r="O98" s="55"/>
      <c r="P98" s="63">
        <v>1737458.06</v>
      </c>
      <c r="Q98" s="63"/>
      <c r="R98" s="63">
        <v>1030975.08</v>
      </c>
      <c r="S98" s="63">
        <v>7050041.3243090399</v>
      </c>
      <c r="T98" s="55">
        <v>210703.07</v>
      </c>
      <c r="U98" s="63">
        <v>3907.5732620233198</v>
      </c>
      <c r="V98" s="63">
        <v>3907.5732620233198</v>
      </c>
      <c r="W98" s="59">
        <v>2022</v>
      </c>
      <c r="X98" s="6" t="e">
        <v>#REF!</v>
      </c>
      <c r="Z98" s="62">
        <f t="shared" si="36"/>
        <v>27187931.989999998</v>
      </c>
      <c r="AA98" s="55">
        <v>5957834.6788287601</v>
      </c>
      <c r="AB98" s="55">
        <v>2123021.4274273198</v>
      </c>
      <c r="AC98" s="55">
        <v>2218085.0113825202</v>
      </c>
      <c r="AD98" s="55">
        <v>1388661.45881064</v>
      </c>
      <c r="AE98" s="55">
        <v>849633.77513700002</v>
      </c>
      <c r="AF98" s="55"/>
      <c r="AG98" s="55">
        <v>228618.42683568</v>
      </c>
      <c r="AH98" s="55">
        <v>0</v>
      </c>
      <c r="AI98" s="55">
        <v>10891828.3075938</v>
      </c>
      <c r="AJ98" s="55">
        <v>0</v>
      </c>
      <c r="AK98" s="55">
        <v>0</v>
      </c>
      <c r="AL98" s="55">
        <v>0</v>
      </c>
      <c r="AM98" s="55">
        <v>2741023.9698999999</v>
      </c>
      <c r="AN98" s="63">
        <v>271879.3199</v>
      </c>
      <c r="AO98" s="64">
        <v>517345.61418427998</v>
      </c>
      <c r="AP98" s="61">
        <f>+N98-'Приложение №2'!E98</f>
        <v>-4.0978193283081055E-8</v>
      </c>
      <c r="AQ98" s="1">
        <v>1127947.9099999999</v>
      </c>
      <c r="AR98" s="3">
        <f t="shared" si="37"/>
        <v>267403.2</v>
      </c>
      <c r="AS98" s="3">
        <f>+(K98*10+L98*20)*12*30-1866218.37</f>
        <v>7571541.6299999999</v>
      </c>
      <c r="AT98" s="6">
        <f t="shared" si="35"/>
        <v>-521500.30569096003</v>
      </c>
      <c r="AW98" s="62">
        <f t="shared" si="31"/>
        <v>10029177.534309041</v>
      </c>
      <c r="AX98" s="55">
        <v>2770302.43</v>
      </c>
      <c r="AY98" s="55"/>
      <c r="AZ98" s="55"/>
      <c r="BA98" s="55"/>
      <c r="BB98" s="55"/>
      <c r="BC98" s="55"/>
      <c r="BD98" s="55"/>
      <c r="BE98" s="55">
        <v>0</v>
      </c>
      <c r="BF98" s="55">
        <v>6779379.8200000003</v>
      </c>
      <c r="BG98" s="55">
        <v>0</v>
      </c>
      <c r="BH98" s="55">
        <v>0</v>
      </c>
      <c r="BI98" s="55">
        <v>0</v>
      </c>
      <c r="BJ98" s="55">
        <v>216012.79999999999</v>
      </c>
      <c r="BK98" s="63">
        <v>24000</v>
      </c>
      <c r="BL98" s="64">
        <v>239482.48430904001</v>
      </c>
      <c r="BM98" s="8">
        <f t="shared" si="32"/>
        <v>10029177.534309041</v>
      </c>
      <c r="BN98" s="55">
        <v>2770302.43</v>
      </c>
      <c r="BO98" s="55"/>
      <c r="BP98" s="71"/>
      <c r="BQ98" s="55"/>
      <c r="BR98" s="55"/>
      <c r="BS98" s="55"/>
      <c r="BT98" s="55"/>
      <c r="BU98" s="55">
        <v>0</v>
      </c>
      <c r="BV98" s="55">
        <v>6779379.8200000003</v>
      </c>
      <c r="BW98" s="55">
        <v>0</v>
      </c>
      <c r="BX98" s="55">
        <v>0</v>
      </c>
      <c r="BY98" s="55">
        <v>0</v>
      </c>
      <c r="BZ98" s="55">
        <v>216012.79999999999</v>
      </c>
      <c r="CA98" s="63">
        <v>24000</v>
      </c>
      <c r="CB98" s="64">
        <v>239482.48430904001</v>
      </c>
    </row>
    <row r="99" spans="1:80" x14ac:dyDescent="0.25">
      <c r="A99" s="52">
        <f t="shared" si="33"/>
        <v>82</v>
      </c>
      <c r="B99" s="53">
        <f t="shared" si="34"/>
        <v>82</v>
      </c>
      <c r="C99" s="53" t="s">
        <v>108</v>
      </c>
      <c r="D99" s="53" t="s">
        <v>158</v>
      </c>
      <c r="E99" s="54">
        <v>1964</v>
      </c>
      <c r="F99" s="54">
        <v>2013</v>
      </c>
      <c r="G99" s="54" t="s">
        <v>64</v>
      </c>
      <c r="H99" s="54">
        <v>4</v>
      </c>
      <c r="I99" s="54">
        <v>2</v>
      </c>
      <c r="J99" s="55">
        <v>1305.4000000000001</v>
      </c>
      <c r="K99" s="55">
        <v>1212.2</v>
      </c>
      <c r="L99" s="55">
        <v>0</v>
      </c>
      <c r="M99" s="56">
        <v>58</v>
      </c>
      <c r="N99" s="62">
        <v>5379408.0875821002</v>
      </c>
      <c r="O99" s="55"/>
      <c r="P99" s="63">
        <v>474969.94</v>
      </c>
      <c r="Q99" s="63"/>
      <c r="R99" s="63">
        <v>552763.5</v>
      </c>
      <c r="S99" s="63">
        <v>4351674.6475820998</v>
      </c>
      <c r="T99" s="55">
        <v>0</v>
      </c>
      <c r="U99" s="63">
        <v>4437.7232202459199</v>
      </c>
      <c r="V99" s="63">
        <v>4437.7232202459199</v>
      </c>
      <c r="W99" s="59">
        <v>2022</v>
      </c>
      <c r="X99" s="6" t="e">
        <v>#REF!</v>
      </c>
      <c r="Z99" s="62">
        <f t="shared" si="36"/>
        <v>12125695.48759958</v>
      </c>
      <c r="AA99" s="55">
        <v>2893205.1202508998</v>
      </c>
      <c r="AB99" s="55">
        <v>1030967.92465086</v>
      </c>
      <c r="AC99" s="55"/>
      <c r="AD99" s="55">
        <v>674352.78890196001</v>
      </c>
      <c r="AE99" s="55">
        <v>412593.65314901998</v>
      </c>
      <c r="AF99" s="55"/>
      <c r="AG99" s="55">
        <v>111020.19812099999</v>
      </c>
      <c r="AH99" s="55">
        <v>0</v>
      </c>
      <c r="AI99" s="55">
        <v>5289219.1770767998</v>
      </c>
      <c r="AJ99" s="55">
        <v>0</v>
      </c>
      <c r="AK99" s="55">
        <v>0</v>
      </c>
      <c r="AL99" s="55">
        <v>0</v>
      </c>
      <c r="AM99" s="55">
        <v>1331078.3206</v>
      </c>
      <c r="AN99" s="63">
        <v>132028.2758</v>
      </c>
      <c r="AO99" s="64">
        <v>251230.02904903999</v>
      </c>
      <c r="AP99" s="61">
        <f>+N99-'Приложение №2'!E99</f>
        <v>0</v>
      </c>
      <c r="AQ99" s="1">
        <f>572097.59-28183.24</f>
        <v>543914.35</v>
      </c>
      <c r="AR99" s="3">
        <f t="shared" si="37"/>
        <v>123644.4</v>
      </c>
      <c r="AS99" s="3">
        <f>+(K99*10+L99*20)*12*30-225791.95</f>
        <v>4138128.05</v>
      </c>
      <c r="AT99" s="6">
        <f t="shared" si="35"/>
        <v>213546.59758209996</v>
      </c>
      <c r="AW99" s="62">
        <f t="shared" si="31"/>
        <v>5379408.0875821002</v>
      </c>
      <c r="AX99" s="55">
        <v>1643046.08</v>
      </c>
      <c r="AY99" s="55"/>
      <c r="AZ99" s="55"/>
      <c r="BA99" s="55"/>
      <c r="BB99" s="55"/>
      <c r="BC99" s="55"/>
      <c r="BD99" s="55"/>
      <c r="BE99" s="55">
        <v>0</v>
      </c>
      <c r="BF99" s="55">
        <v>3461614.25</v>
      </c>
      <c r="BG99" s="55">
        <v>0</v>
      </c>
      <c r="BH99" s="55">
        <v>0</v>
      </c>
      <c r="BI99" s="55">
        <v>0</v>
      </c>
      <c r="BJ99" s="55">
        <v>156962.18</v>
      </c>
      <c r="BK99" s="63">
        <v>24000</v>
      </c>
      <c r="BL99" s="64">
        <v>93785.577582099999</v>
      </c>
      <c r="BM99" s="8">
        <f t="shared" si="32"/>
        <v>5379408.0875821002</v>
      </c>
      <c r="BN99" s="55">
        <v>1643046.08</v>
      </c>
      <c r="BO99" s="55"/>
      <c r="BP99" s="71"/>
      <c r="BQ99" s="55"/>
      <c r="BR99" s="55"/>
      <c r="BS99" s="55"/>
      <c r="BT99" s="55"/>
      <c r="BU99" s="55">
        <v>0</v>
      </c>
      <c r="BV99" s="55">
        <v>3461614.25</v>
      </c>
      <c r="BW99" s="55">
        <v>0</v>
      </c>
      <c r="BX99" s="55">
        <v>0</v>
      </c>
      <c r="BY99" s="55">
        <v>0</v>
      </c>
      <c r="BZ99" s="55">
        <v>156962.18</v>
      </c>
      <c r="CA99" s="63">
        <v>24000</v>
      </c>
      <c r="CB99" s="64">
        <v>93785.577582099999</v>
      </c>
    </row>
    <row r="100" spans="1:80" x14ac:dyDescent="0.25">
      <c r="A100" s="52">
        <f t="shared" si="33"/>
        <v>83</v>
      </c>
      <c r="B100" s="53">
        <f t="shared" si="34"/>
        <v>83</v>
      </c>
      <c r="C100" s="53" t="s">
        <v>108</v>
      </c>
      <c r="D100" s="53" t="s">
        <v>159</v>
      </c>
      <c r="E100" s="54">
        <v>1964</v>
      </c>
      <c r="F100" s="54">
        <v>2013</v>
      </c>
      <c r="G100" s="54" t="s">
        <v>64</v>
      </c>
      <c r="H100" s="54">
        <v>4</v>
      </c>
      <c r="I100" s="54">
        <v>2</v>
      </c>
      <c r="J100" s="55">
        <v>1348</v>
      </c>
      <c r="K100" s="55">
        <v>1248.9000000000001</v>
      </c>
      <c r="L100" s="55">
        <v>0</v>
      </c>
      <c r="M100" s="56">
        <v>74</v>
      </c>
      <c r="N100" s="62">
        <v>3305142.0224692798</v>
      </c>
      <c r="O100" s="55"/>
      <c r="P100" s="63"/>
      <c r="Q100" s="63"/>
      <c r="R100" s="63">
        <v>228782.46</v>
      </c>
      <c r="S100" s="63">
        <v>3076359.5624692799</v>
      </c>
      <c r="T100" s="55">
        <v>0</v>
      </c>
      <c r="U100" s="63">
        <v>2646.4424873643002</v>
      </c>
      <c r="V100" s="63">
        <v>2646.4424873643002</v>
      </c>
      <c r="W100" s="59">
        <v>2022</v>
      </c>
      <c r="X100" s="6" t="e">
        <v>#REF!</v>
      </c>
      <c r="Z100" s="62">
        <f t="shared" si="36"/>
        <v>13604861.209999999</v>
      </c>
      <c r="AA100" s="55">
        <v>2981304.8663361599</v>
      </c>
      <c r="AB100" s="55">
        <v>1062361.4877094801</v>
      </c>
      <c r="AC100" s="55">
        <v>1109931.3752150401</v>
      </c>
      <c r="AD100" s="55">
        <v>694887.21792840003</v>
      </c>
      <c r="AE100" s="55">
        <v>425157.36756066</v>
      </c>
      <c r="AF100" s="55"/>
      <c r="AG100" s="55">
        <v>114400.82936268</v>
      </c>
      <c r="AH100" s="55">
        <v>0</v>
      </c>
      <c r="AI100" s="55">
        <v>5450278.9118777998</v>
      </c>
      <c r="AJ100" s="55">
        <v>0</v>
      </c>
      <c r="AK100" s="55">
        <v>0</v>
      </c>
      <c r="AL100" s="55">
        <v>0</v>
      </c>
      <c r="AM100" s="55">
        <v>1371610.4151999999</v>
      </c>
      <c r="AN100" s="63">
        <v>136048.6121</v>
      </c>
      <c r="AO100" s="64">
        <v>258880.12670977999</v>
      </c>
      <c r="AP100" s="61">
        <f>+N100-'Приложение №2'!E100</f>
        <v>0</v>
      </c>
      <c r="AQ100" s="1">
        <v>546149.31000000006</v>
      </c>
      <c r="AR100" s="3">
        <f t="shared" si="37"/>
        <v>127387.8</v>
      </c>
      <c r="AS100" s="3">
        <f>+(K100*10+L100*20)*12*30</f>
        <v>4496040</v>
      </c>
      <c r="AT100" s="6">
        <f t="shared" si="35"/>
        <v>-1419680.4375307201</v>
      </c>
      <c r="AW100" s="62">
        <f t="shared" si="31"/>
        <v>3305142.0224692798</v>
      </c>
      <c r="AX100" s="55"/>
      <c r="AY100" s="55"/>
      <c r="AZ100" s="55">
        <v>417598.24</v>
      </c>
      <c r="BA100" s="55"/>
      <c r="BB100" s="55"/>
      <c r="BC100" s="55"/>
      <c r="BD100" s="55"/>
      <c r="BE100" s="55">
        <v>0</v>
      </c>
      <c r="BF100" s="55">
        <v>2705657.8</v>
      </c>
      <c r="BG100" s="55">
        <v>0</v>
      </c>
      <c r="BH100" s="55">
        <v>0</v>
      </c>
      <c r="BI100" s="55">
        <v>0</v>
      </c>
      <c r="BJ100" s="55"/>
      <c r="BK100" s="63"/>
      <c r="BL100" s="64">
        <v>181885.98246927999</v>
      </c>
      <c r="BM100" s="8">
        <f t="shared" si="32"/>
        <v>3305142.0224692798</v>
      </c>
      <c r="BN100" s="55"/>
      <c r="BO100" s="55"/>
      <c r="BP100" s="71">
        <v>417598.24</v>
      </c>
      <c r="BQ100" s="55"/>
      <c r="BR100" s="55"/>
      <c r="BS100" s="55"/>
      <c r="BT100" s="55"/>
      <c r="BU100" s="55">
        <v>0</v>
      </c>
      <c r="BV100" s="55">
        <v>2705657.8</v>
      </c>
      <c r="BW100" s="55">
        <v>0</v>
      </c>
      <c r="BX100" s="55">
        <v>0</v>
      </c>
      <c r="BY100" s="55">
        <v>0</v>
      </c>
      <c r="BZ100" s="55"/>
      <c r="CA100" s="63"/>
      <c r="CB100" s="64">
        <v>181885.98246927999</v>
      </c>
    </row>
    <row r="101" spans="1:80" x14ac:dyDescent="0.25">
      <c r="A101" s="52">
        <f t="shared" si="33"/>
        <v>84</v>
      </c>
      <c r="B101" s="53">
        <f t="shared" si="34"/>
        <v>84</v>
      </c>
      <c r="C101" s="53" t="s">
        <v>108</v>
      </c>
      <c r="D101" s="53" t="s">
        <v>160</v>
      </c>
      <c r="E101" s="54">
        <v>1979</v>
      </c>
      <c r="F101" s="54">
        <v>2013</v>
      </c>
      <c r="G101" s="54" t="s">
        <v>64</v>
      </c>
      <c r="H101" s="54">
        <v>4</v>
      </c>
      <c r="I101" s="54">
        <v>4</v>
      </c>
      <c r="J101" s="55">
        <v>3976.8</v>
      </c>
      <c r="K101" s="55">
        <v>3445</v>
      </c>
      <c r="L101" s="55">
        <v>0</v>
      </c>
      <c r="M101" s="56">
        <v>147</v>
      </c>
      <c r="N101" s="62">
        <v>11237171.892672</v>
      </c>
      <c r="O101" s="55"/>
      <c r="P101" s="63"/>
      <c r="Q101" s="63"/>
      <c r="R101" s="63">
        <v>1880810.18</v>
      </c>
      <c r="S101" s="63">
        <v>9356361.7126720008</v>
      </c>
      <c r="T101" s="55">
        <v>0</v>
      </c>
      <c r="U101" s="63">
        <v>3261.87863357678</v>
      </c>
      <c r="V101" s="63">
        <v>3261.87863357678</v>
      </c>
      <c r="W101" s="59">
        <v>2022</v>
      </c>
      <c r="X101" s="6" t="e">
        <v>#REF!</v>
      </c>
      <c r="Z101" s="62">
        <f t="shared" si="36"/>
        <v>19622588.439999994</v>
      </c>
      <c r="AA101" s="55">
        <v>5822137.5647799</v>
      </c>
      <c r="AB101" s="55">
        <v>3367101.3183015599</v>
      </c>
      <c r="AC101" s="55">
        <v>3559275.4023027602</v>
      </c>
      <c r="AD101" s="55">
        <v>2713977.7540528802</v>
      </c>
      <c r="AE101" s="55">
        <v>1084178.55356622</v>
      </c>
      <c r="AF101" s="55"/>
      <c r="AG101" s="55">
        <v>289300.48238280002</v>
      </c>
      <c r="AH101" s="55">
        <v>0</v>
      </c>
      <c r="AI101" s="55">
        <v>0</v>
      </c>
      <c r="AJ101" s="55">
        <v>0</v>
      </c>
      <c r="AK101" s="55">
        <v>0</v>
      </c>
      <c r="AL101" s="55">
        <v>0</v>
      </c>
      <c r="AM101" s="55">
        <v>2222222.8914000001</v>
      </c>
      <c r="AN101" s="63">
        <v>196225.88440000001</v>
      </c>
      <c r="AO101" s="64">
        <v>368168.58881387999</v>
      </c>
      <c r="AP101" s="61">
        <f>+N101-'Приложение №2'!E101</f>
        <v>0</v>
      </c>
      <c r="AQ101" s="1">
        <v>1631711.2</v>
      </c>
      <c r="AR101" s="3">
        <f t="shared" si="37"/>
        <v>351390</v>
      </c>
      <c r="AS101" s="3">
        <f>+(K101*10+L101*20)*12*30</f>
        <v>12402000</v>
      </c>
      <c r="AT101" s="6">
        <f t="shared" si="35"/>
        <v>-3045638.2873279992</v>
      </c>
      <c r="AW101" s="62">
        <f t="shared" si="31"/>
        <v>11237171.892672002</v>
      </c>
      <c r="AX101" s="55">
        <v>6273586.1500000004</v>
      </c>
      <c r="AY101" s="55"/>
      <c r="AZ101" s="55">
        <v>1824432.9</v>
      </c>
      <c r="BA101" s="55">
        <v>2750949.97</v>
      </c>
      <c r="BB101" s="55"/>
      <c r="BC101" s="55"/>
      <c r="BD101" s="55"/>
      <c r="BE101" s="55">
        <v>0</v>
      </c>
      <c r="BF101" s="55">
        <v>0</v>
      </c>
      <c r="BG101" s="55">
        <v>0</v>
      </c>
      <c r="BH101" s="55">
        <v>0</v>
      </c>
      <c r="BI101" s="55">
        <v>0</v>
      </c>
      <c r="BJ101" s="55">
        <v>75835.89</v>
      </c>
      <c r="BK101" s="63">
        <v>18000</v>
      </c>
      <c r="BL101" s="64">
        <v>294366.98267200001</v>
      </c>
      <c r="BM101" s="8">
        <f t="shared" si="32"/>
        <v>11237171.892672002</v>
      </c>
      <c r="BN101" s="55">
        <v>6273586.1500000004</v>
      </c>
      <c r="BO101" s="55"/>
      <c r="BP101" s="71">
        <v>1824432.9</v>
      </c>
      <c r="BQ101" s="55">
        <v>2750949.97</v>
      </c>
      <c r="BR101" s="55"/>
      <c r="BS101" s="55"/>
      <c r="BT101" s="55"/>
      <c r="BU101" s="55">
        <v>0</v>
      </c>
      <c r="BV101" s="55">
        <v>0</v>
      </c>
      <c r="BW101" s="55">
        <v>0</v>
      </c>
      <c r="BX101" s="55">
        <v>0</v>
      </c>
      <c r="BY101" s="55">
        <v>0</v>
      </c>
      <c r="BZ101" s="55">
        <v>75835.89</v>
      </c>
      <c r="CA101" s="63">
        <v>18000</v>
      </c>
      <c r="CB101" s="64">
        <v>294366.98267200001</v>
      </c>
    </row>
    <row r="102" spans="1:80" x14ac:dyDescent="0.25">
      <c r="A102" s="52">
        <f t="shared" si="33"/>
        <v>85</v>
      </c>
      <c r="B102" s="53">
        <f t="shared" si="34"/>
        <v>85</v>
      </c>
      <c r="C102" s="53" t="s">
        <v>108</v>
      </c>
      <c r="D102" s="53" t="s">
        <v>161</v>
      </c>
      <c r="E102" s="54">
        <v>1979</v>
      </c>
      <c r="F102" s="54">
        <v>2013</v>
      </c>
      <c r="G102" s="54" t="s">
        <v>64</v>
      </c>
      <c r="H102" s="54">
        <v>4</v>
      </c>
      <c r="I102" s="54">
        <v>4</v>
      </c>
      <c r="J102" s="55">
        <v>3917.8</v>
      </c>
      <c r="K102" s="55">
        <v>3440.2</v>
      </c>
      <c r="L102" s="55">
        <v>0</v>
      </c>
      <c r="M102" s="56">
        <v>140</v>
      </c>
      <c r="N102" s="62">
        <v>11195845.836039999</v>
      </c>
      <c r="O102" s="55"/>
      <c r="P102" s="63"/>
      <c r="Q102" s="63"/>
      <c r="R102" s="63">
        <v>1936128.04</v>
      </c>
      <c r="S102" s="63">
        <v>9259717.7960400004</v>
      </c>
      <c r="T102" s="55">
        <v>0</v>
      </c>
      <c r="U102" s="63">
        <v>3254.4171373873601</v>
      </c>
      <c r="V102" s="63">
        <v>3254.4171373873601</v>
      </c>
      <c r="W102" s="59">
        <v>2022</v>
      </c>
      <c r="X102" s="6" t="e">
        <v>#REF!</v>
      </c>
      <c r="Z102" s="62">
        <f t="shared" si="36"/>
        <v>19409336.159999996</v>
      </c>
      <c r="AA102" s="55">
        <v>5758864.3566909004</v>
      </c>
      <c r="AB102" s="55">
        <v>3330508.6911448799</v>
      </c>
      <c r="AC102" s="55">
        <v>3520594.2884208602</v>
      </c>
      <c r="AD102" s="55">
        <v>2684483.0712294001</v>
      </c>
      <c r="AE102" s="55">
        <v>1072396.0376261999</v>
      </c>
      <c r="AF102" s="55"/>
      <c r="AG102" s="55">
        <v>286156.45293899998</v>
      </c>
      <c r="AH102" s="55">
        <v>0</v>
      </c>
      <c r="AI102" s="55">
        <v>0</v>
      </c>
      <c r="AJ102" s="55">
        <v>0</v>
      </c>
      <c r="AK102" s="55">
        <v>0</v>
      </c>
      <c r="AL102" s="55">
        <v>0</v>
      </c>
      <c r="AM102" s="55">
        <v>2198072.4550000001</v>
      </c>
      <c r="AN102" s="63">
        <v>194093.3616</v>
      </c>
      <c r="AO102" s="64">
        <v>364167.44534876</v>
      </c>
      <c r="AP102" s="61">
        <f>+N102-'Приложение №2'!E102</f>
        <v>0</v>
      </c>
      <c r="AQ102" s="1">
        <v>1687407.14</v>
      </c>
      <c r="AR102" s="3">
        <f t="shared" si="37"/>
        <v>350900.39999999997</v>
      </c>
      <c r="AS102" s="3">
        <f>+(K102*10+L102*20)*12*30</f>
        <v>12384720</v>
      </c>
      <c r="AT102" s="6">
        <f t="shared" si="35"/>
        <v>-3125002.2039599996</v>
      </c>
      <c r="AW102" s="62">
        <f t="shared" si="31"/>
        <v>11195845.836039999</v>
      </c>
      <c r="AX102" s="55">
        <v>6230360.1900000004</v>
      </c>
      <c r="AY102" s="55"/>
      <c r="AZ102" s="55">
        <v>1824432.9</v>
      </c>
      <c r="BA102" s="55">
        <v>2756248.99</v>
      </c>
      <c r="BB102" s="55"/>
      <c r="BC102" s="55"/>
      <c r="BD102" s="55"/>
      <c r="BE102" s="55">
        <v>0</v>
      </c>
      <c r="BF102" s="55">
        <v>0</v>
      </c>
      <c r="BG102" s="55">
        <v>0</v>
      </c>
      <c r="BH102" s="55">
        <v>0</v>
      </c>
      <c r="BI102" s="55">
        <v>0</v>
      </c>
      <c r="BJ102" s="55">
        <v>75653.789999999994</v>
      </c>
      <c r="BK102" s="63">
        <v>18000</v>
      </c>
      <c r="BL102" s="64">
        <v>291149.96604000003</v>
      </c>
      <c r="BM102" s="8">
        <f t="shared" si="32"/>
        <v>11195845.836039999</v>
      </c>
      <c r="BN102" s="55">
        <v>6230360.1900000004</v>
      </c>
      <c r="BO102" s="55"/>
      <c r="BP102" s="71">
        <v>1824432.9</v>
      </c>
      <c r="BQ102" s="55">
        <v>2756248.99</v>
      </c>
      <c r="BR102" s="55"/>
      <c r="BS102" s="55"/>
      <c r="BT102" s="55"/>
      <c r="BU102" s="55">
        <v>0</v>
      </c>
      <c r="BV102" s="55">
        <v>0</v>
      </c>
      <c r="BW102" s="55">
        <v>0</v>
      </c>
      <c r="BX102" s="55">
        <v>0</v>
      </c>
      <c r="BY102" s="55">
        <v>0</v>
      </c>
      <c r="BZ102" s="55">
        <v>75653.789999999994</v>
      </c>
      <c r="CA102" s="63">
        <v>18000</v>
      </c>
      <c r="CB102" s="64">
        <v>291149.96604000003</v>
      </c>
    </row>
    <row r="103" spans="1:80" x14ac:dyDescent="0.25">
      <c r="A103" s="52">
        <f t="shared" si="33"/>
        <v>86</v>
      </c>
      <c r="B103" s="53">
        <f t="shared" si="34"/>
        <v>86</v>
      </c>
      <c r="C103" s="53" t="s">
        <v>108</v>
      </c>
      <c r="D103" s="53" t="s">
        <v>162</v>
      </c>
      <c r="E103" s="54">
        <v>1979</v>
      </c>
      <c r="F103" s="54">
        <v>2013</v>
      </c>
      <c r="G103" s="54" t="s">
        <v>64</v>
      </c>
      <c r="H103" s="54">
        <v>4</v>
      </c>
      <c r="I103" s="54">
        <v>4</v>
      </c>
      <c r="J103" s="55">
        <v>3969.95</v>
      </c>
      <c r="K103" s="55">
        <v>3453.7</v>
      </c>
      <c r="L103" s="55">
        <v>0</v>
      </c>
      <c r="M103" s="56">
        <v>154</v>
      </c>
      <c r="N103" s="62">
        <v>9426184.945998</v>
      </c>
      <c r="O103" s="55"/>
      <c r="P103" s="63"/>
      <c r="Q103" s="63"/>
      <c r="R103" s="63">
        <v>1705810.55</v>
      </c>
      <c r="S103" s="63">
        <v>7720374.3959980002</v>
      </c>
      <c r="T103" s="55">
        <v>0</v>
      </c>
      <c r="U103" s="63">
        <v>2729.3004447398398</v>
      </c>
      <c r="V103" s="63">
        <v>2729.3004447398398</v>
      </c>
      <c r="W103" s="59">
        <v>2022</v>
      </c>
      <c r="X103" s="6" t="e">
        <v>#REF!</v>
      </c>
      <c r="Z103" s="62">
        <f t="shared" si="36"/>
        <v>19594173.580000002</v>
      </c>
      <c r="AA103" s="55">
        <v>5813706.7057906203</v>
      </c>
      <c r="AB103" s="55">
        <v>3362225.5261996798</v>
      </c>
      <c r="AC103" s="55">
        <v>3554121.3229788002</v>
      </c>
      <c r="AD103" s="55">
        <v>2710047.7279638001</v>
      </c>
      <c r="AE103" s="55">
        <v>1082608.5872498399</v>
      </c>
      <c r="AF103" s="55"/>
      <c r="AG103" s="55">
        <v>288881.55977183999</v>
      </c>
      <c r="AH103" s="55">
        <v>0</v>
      </c>
      <c r="AI103" s="55">
        <v>0</v>
      </c>
      <c r="AJ103" s="55">
        <v>0</v>
      </c>
      <c r="AK103" s="55">
        <v>0</v>
      </c>
      <c r="AL103" s="55">
        <v>0</v>
      </c>
      <c r="AM103" s="55">
        <v>2219004.9589</v>
      </c>
      <c r="AN103" s="63">
        <v>195941.73579999999</v>
      </c>
      <c r="AO103" s="64">
        <v>367635.45534541999</v>
      </c>
      <c r="AP103" s="61">
        <f>+N103-'Приложение №2'!E103</f>
        <v>0</v>
      </c>
      <c r="AQ103" s="1">
        <v>1455712.65</v>
      </c>
      <c r="AR103" s="3">
        <f t="shared" si="37"/>
        <v>352277.39999999997</v>
      </c>
      <c r="AS103" s="3">
        <f>+(K103*10+L103*20)*12*30</f>
        <v>12433320</v>
      </c>
      <c r="AT103" s="6">
        <f t="shared" si="35"/>
        <v>-4712945.6040019998</v>
      </c>
      <c r="AW103" s="62">
        <f t="shared" si="31"/>
        <v>9426184.9459980018</v>
      </c>
      <c r="AX103" s="55">
        <v>6321167.0899999999</v>
      </c>
      <c r="AY103" s="55"/>
      <c r="AZ103" s="55"/>
      <c r="BA103" s="55">
        <v>2717347.73</v>
      </c>
      <c r="BB103" s="55"/>
      <c r="BC103" s="55"/>
      <c r="BD103" s="55"/>
      <c r="BE103" s="55">
        <v>0</v>
      </c>
      <c r="BF103" s="55">
        <v>0</v>
      </c>
      <c r="BG103" s="55">
        <v>0</v>
      </c>
      <c r="BH103" s="55">
        <v>0</v>
      </c>
      <c r="BI103" s="55">
        <v>0</v>
      </c>
      <c r="BJ103" s="55">
        <v>75730.05</v>
      </c>
      <c r="BK103" s="63">
        <v>18000</v>
      </c>
      <c r="BL103" s="64">
        <v>293940.07599799999</v>
      </c>
      <c r="BM103" s="8">
        <f t="shared" si="32"/>
        <v>9426184.9459980018</v>
      </c>
      <c r="BN103" s="55">
        <v>6321167.0899999999</v>
      </c>
      <c r="BO103" s="55"/>
      <c r="BP103" s="71"/>
      <c r="BQ103" s="55">
        <v>2717347.73</v>
      </c>
      <c r="BR103" s="55"/>
      <c r="BS103" s="55"/>
      <c r="BT103" s="55"/>
      <c r="BU103" s="55">
        <v>0</v>
      </c>
      <c r="BV103" s="55">
        <v>0</v>
      </c>
      <c r="BW103" s="55">
        <v>0</v>
      </c>
      <c r="BX103" s="55">
        <v>0</v>
      </c>
      <c r="BY103" s="55">
        <v>0</v>
      </c>
      <c r="BZ103" s="55">
        <v>75730.05</v>
      </c>
      <c r="CA103" s="63">
        <v>18000</v>
      </c>
      <c r="CB103" s="64">
        <v>293940.07599799999</v>
      </c>
    </row>
    <row r="104" spans="1:80" x14ac:dyDescent="0.25">
      <c r="A104" s="52">
        <f t="shared" si="33"/>
        <v>87</v>
      </c>
      <c r="B104" s="53">
        <f t="shared" si="34"/>
        <v>87</v>
      </c>
      <c r="C104" s="53" t="s">
        <v>108</v>
      </c>
      <c r="D104" s="53" t="s">
        <v>163</v>
      </c>
      <c r="E104" s="54">
        <v>1961</v>
      </c>
      <c r="F104" s="54">
        <v>2013</v>
      </c>
      <c r="G104" s="54" t="s">
        <v>64</v>
      </c>
      <c r="H104" s="54">
        <v>4</v>
      </c>
      <c r="I104" s="54">
        <v>3</v>
      </c>
      <c r="J104" s="55">
        <v>3049.5</v>
      </c>
      <c r="K104" s="55">
        <v>2277.6</v>
      </c>
      <c r="L104" s="55">
        <v>771.9</v>
      </c>
      <c r="M104" s="56">
        <v>94</v>
      </c>
      <c r="N104" s="62">
        <v>1102560.24537608</v>
      </c>
      <c r="O104" s="55"/>
      <c r="P104" s="63"/>
      <c r="Q104" s="63"/>
      <c r="R104" s="63">
        <v>105566.35</v>
      </c>
      <c r="S104" s="63">
        <v>996993.89537607995</v>
      </c>
      <c r="T104" s="55">
        <v>0</v>
      </c>
      <c r="U104" s="63">
        <v>361.55443363701602</v>
      </c>
      <c r="V104" s="63">
        <v>361.55443363701602</v>
      </c>
      <c r="W104" s="59">
        <v>2022</v>
      </c>
      <c r="X104" s="6" t="e">
        <v>#REF!</v>
      </c>
      <c r="Z104" s="62">
        <f t="shared" si="36"/>
        <v>13067933.899999999</v>
      </c>
      <c r="AA104" s="55">
        <v>5253036.7368624602</v>
      </c>
      <c r="AB104" s="55">
        <v>1871872.94908698</v>
      </c>
      <c r="AC104" s="55">
        <v>1955690.72273694</v>
      </c>
      <c r="AD104" s="55">
        <v>1224386.0518469999</v>
      </c>
      <c r="AE104" s="55">
        <v>749124.08010090003</v>
      </c>
      <c r="AF104" s="55"/>
      <c r="AG104" s="55">
        <v>201573.40567308001</v>
      </c>
      <c r="AH104" s="55">
        <v>0</v>
      </c>
      <c r="AI104" s="55">
        <v>0</v>
      </c>
      <c r="AJ104" s="55">
        <v>0</v>
      </c>
      <c r="AK104" s="55">
        <v>0</v>
      </c>
      <c r="AL104" s="55">
        <v>0</v>
      </c>
      <c r="AM104" s="55">
        <v>1435431.6033999999</v>
      </c>
      <c r="AN104" s="63">
        <v>130679.33900000001</v>
      </c>
      <c r="AO104" s="64">
        <v>246139.01129264</v>
      </c>
      <c r="AP104" s="61">
        <f>+N104-'Приложение №2'!E104</f>
        <v>0</v>
      </c>
      <c r="AQ104" s="1">
        <v>1647685.87</v>
      </c>
      <c r="AR104" s="3">
        <f t="shared" si="37"/>
        <v>389782.8</v>
      </c>
      <c r="AS104" s="3">
        <f>+(K104*10+L104*20)*12*30-1902349.22</f>
        <v>11854690.779999999</v>
      </c>
      <c r="AT104" s="6">
        <f t="shared" si="35"/>
        <v>-10857696.884623919</v>
      </c>
      <c r="AW104" s="62">
        <f t="shared" si="31"/>
        <v>1102560.24537608</v>
      </c>
      <c r="AX104" s="55"/>
      <c r="AZ104" s="55">
        <v>642270.27</v>
      </c>
      <c r="BA104" s="55"/>
      <c r="BB104" s="55"/>
      <c r="BC104" s="55"/>
      <c r="BD104" s="55"/>
      <c r="BE104" s="55">
        <v>0</v>
      </c>
      <c r="BF104" s="55">
        <v>0</v>
      </c>
      <c r="BG104" s="55">
        <v>0</v>
      </c>
      <c r="BH104" s="55">
        <v>0</v>
      </c>
      <c r="BI104" s="55">
        <v>0</v>
      </c>
      <c r="BJ104" s="55">
        <v>352588.91</v>
      </c>
      <c r="BK104" s="63">
        <v>24000</v>
      </c>
      <c r="BL104" s="64">
        <v>83701.065376080005</v>
      </c>
      <c r="BM104" s="8">
        <f t="shared" si="32"/>
        <v>1102560.24537608</v>
      </c>
      <c r="BN104" s="55"/>
      <c r="BP104" s="71">
        <v>642270.27</v>
      </c>
      <c r="BQ104" s="55"/>
      <c r="BR104" s="55"/>
      <c r="BS104" s="55"/>
      <c r="BT104" s="55"/>
      <c r="BU104" s="55">
        <v>0</v>
      </c>
      <c r="BV104" s="55">
        <v>0</v>
      </c>
      <c r="BW104" s="55">
        <v>0</v>
      </c>
      <c r="BX104" s="55">
        <v>0</v>
      </c>
      <c r="BY104" s="55">
        <v>0</v>
      </c>
      <c r="BZ104" s="55">
        <v>352588.91</v>
      </c>
      <c r="CA104" s="63">
        <v>24000</v>
      </c>
      <c r="CB104" s="64">
        <v>83701.065376080005</v>
      </c>
    </row>
    <row r="105" spans="1:80" x14ac:dyDescent="0.25">
      <c r="A105" s="52">
        <f t="shared" si="33"/>
        <v>88</v>
      </c>
      <c r="B105" s="53">
        <f t="shared" si="34"/>
        <v>88</v>
      </c>
      <c r="C105" s="53" t="s">
        <v>108</v>
      </c>
      <c r="D105" s="53" t="s">
        <v>164</v>
      </c>
      <c r="E105" s="54">
        <v>1963</v>
      </c>
      <c r="F105" s="54">
        <v>2005</v>
      </c>
      <c r="G105" s="54" t="s">
        <v>64</v>
      </c>
      <c r="H105" s="54">
        <v>4</v>
      </c>
      <c r="I105" s="54">
        <v>2</v>
      </c>
      <c r="J105" s="55">
        <v>1240.4000000000001</v>
      </c>
      <c r="K105" s="55">
        <v>1075.8</v>
      </c>
      <c r="L105" s="55">
        <v>111.9</v>
      </c>
      <c r="M105" s="56">
        <v>70</v>
      </c>
      <c r="N105" s="62">
        <v>2251928.7114039198</v>
      </c>
      <c r="O105" s="55"/>
      <c r="P105" s="63"/>
      <c r="Q105" s="63"/>
      <c r="R105" s="63">
        <v>132559.20000000001</v>
      </c>
      <c r="S105" s="63">
        <v>2119369.5114039201</v>
      </c>
      <c r="T105" s="55">
        <v>0</v>
      </c>
      <c r="U105" s="63">
        <v>1896.04168679289</v>
      </c>
      <c r="V105" s="63">
        <v>1896.04168679289</v>
      </c>
      <c r="W105" s="59">
        <v>2022</v>
      </c>
      <c r="X105" s="6" t="e">
        <v>#REF!</v>
      </c>
      <c r="Z105" s="62">
        <f t="shared" si="36"/>
        <v>6371609.4744707607</v>
      </c>
      <c r="AA105" s="55">
        <v>2696472.9036772801</v>
      </c>
      <c r="AB105" s="55">
        <v>960864.14913719997</v>
      </c>
      <c r="AC105" s="55"/>
      <c r="AD105" s="55">
        <v>628498.13628335996</v>
      </c>
      <c r="AE105" s="55">
        <v>384538.10584644001</v>
      </c>
      <c r="AF105" s="55"/>
      <c r="AG105" s="55">
        <v>103471.04618424</v>
      </c>
      <c r="AH105" s="55">
        <v>0</v>
      </c>
      <c r="AI105" s="55"/>
      <c r="AJ105" s="55">
        <v>0</v>
      </c>
      <c r="AK105" s="55">
        <v>0</v>
      </c>
      <c r="AL105" s="55">
        <v>0</v>
      </c>
      <c r="AM105" s="55">
        <v>1240567.6336999999</v>
      </c>
      <c r="AN105" s="63">
        <v>123050.61470000001</v>
      </c>
      <c r="AO105" s="64">
        <v>234146.88494223999</v>
      </c>
      <c r="AP105" s="61">
        <f>+N105-'Приложение №2'!E105</f>
        <v>0</v>
      </c>
      <c r="AQ105" s="1">
        <v>669629.44999999995</v>
      </c>
      <c r="AR105" s="3">
        <f t="shared" si="37"/>
        <v>132559.19999999998</v>
      </c>
      <c r="AS105" s="3">
        <f>+(K105*10+L105*20)*12*30-1442997.24</f>
        <v>3235562.76</v>
      </c>
      <c r="AT105" s="6">
        <f t="shared" si="35"/>
        <v>-1116193.2485960796</v>
      </c>
      <c r="AW105" s="62">
        <f t="shared" si="31"/>
        <v>2251928.7114039203</v>
      </c>
      <c r="AX105" s="55"/>
      <c r="AY105" s="55">
        <v>588065.09</v>
      </c>
      <c r="AZ105" s="55"/>
      <c r="BA105" s="55">
        <v>500447.33</v>
      </c>
      <c r="BB105" s="55">
        <v>469911.83</v>
      </c>
      <c r="BC105" s="55"/>
      <c r="BD105" s="55"/>
      <c r="BE105" s="55">
        <v>0</v>
      </c>
      <c r="BF105" s="55"/>
      <c r="BG105" s="55">
        <v>0</v>
      </c>
      <c r="BH105" s="55">
        <v>0</v>
      </c>
      <c r="BI105" s="55">
        <v>0</v>
      </c>
      <c r="BJ105" s="55">
        <v>513326.799</v>
      </c>
      <c r="BK105" s="63">
        <v>73858.718200000003</v>
      </c>
      <c r="BL105" s="64">
        <v>106318.94420391999</v>
      </c>
      <c r="BM105" s="8">
        <f t="shared" si="32"/>
        <v>2251928.7114039203</v>
      </c>
      <c r="BN105" s="55"/>
      <c r="BO105" s="55">
        <v>588065.09</v>
      </c>
      <c r="BP105" s="71"/>
      <c r="BQ105" s="55">
        <v>500447.33</v>
      </c>
      <c r="BR105" s="55">
        <v>469911.83</v>
      </c>
      <c r="BS105" s="55"/>
      <c r="BT105" s="55"/>
      <c r="BU105" s="55">
        <v>0</v>
      </c>
      <c r="BV105" s="55"/>
      <c r="BW105" s="55">
        <v>0</v>
      </c>
      <c r="BX105" s="55">
        <v>0</v>
      </c>
      <c r="BY105" s="55">
        <v>0</v>
      </c>
      <c r="BZ105" s="55">
        <v>513326.799</v>
      </c>
      <c r="CA105" s="63">
        <v>73858.718200000003</v>
      </c>
      <c r="CB105" s="64">
        <v>106318.94420391999</v>
      </c>
    </row>
    <row r="106" spans="1:80" x14ac:dyDescent="0.25">
      <c r="A106" s="52">
        <f t="shared" si="33"/>
        <v>89</v>
      </c>
      <c r="B106" s="53">
        <f t="shared" si="34"/>
        <v>89</v>
      </c>
      <c r="C106" s="53" t="s">
        <v>108</v>
      </c>
      <c r="D106" s="53" t="s">
        <v>165</v>
      </c>
      <c r="E106" s="54">
        <v>1965</v>
      </c>
      <c r="F106" s="54">
        <v>2005</v>
      </c>
      <c r="G106" s="54" t="s">
        <v>64</v>
      </c>
      <c r="H106" s="54">
        <v>4</v>
      </c>
      <c r="I106" s="54">
        <v>4</v>
      </c>
      <c r="J106" s="55">
        <v>2661.8</v>
      </c>
      <c r="K106" s="55">
        <v>2220.4</v>
      </c>
      <c r="L106" s="55">
        <v>229.71</v>
      </c>
      <c r="M106" s="56">
        <v>111</v>
      </c>
      <c r="N106" s="57">
        <v>1618117.19564</v>
      </c>
      <c r="O106" s="55"/>
      <c r="P106" s="63"/>
      <c r="Q106" s="63"/>
      <c r="R106" s="63">
        <v>1618117.19564</v>
      </c>
      <c r="S106" s="63">
        <v>0</v>
      </c>
      <c r="T106" s="63">
        <v>0</v>
      </c>
      <c r="U106" s="55">
        <v>660.42634642526298</v>
      </c>
      <c r="V106" s="55">
        <v>660.42634642526298</v>
      </c>
      <c r="W106" s="59">
        <v>2022</v>
      </c>
      <c r="X106" s="6" t="e">
        <v>#REF!</v>
      </c>
      <c r="Z106" s="62">
        <f t="shared" si="36"/>
        <v>26489548.390000001</v>
      </c>
      <c r="AA106" s="55">
        <v>5804794.2058142396</v>
      </c>
      <c r="AB106" s="55">
        <v>2068486.8169081199</v>
      </c>
      <c r="AC106" s="55">
        <v>2161108.4722953602</v>
      </c>
      <c r="AD106" s="55">
        <v>1352990.5470060001</v>
      </c>
      <c r="AE106" s="55">
        <v>827809.00358814001</v>
      </c>
      <c r="AF106" s="55"/>
      <c r="AG106" s="55">
        <v>222745.84764851999</v>
      </c>
      <c r="AH106" s="55">
        <v>0</v>
      </c>
      <c r="AI106" s="55">
        <v>10612047.031450201</v>
      </c>
      <c r="AJ106" s="55">
        <v>0</v>
      </c>
      <c r="AK106" s="55">
        <v>0</v>
      </c>
      <c r="AL106" s="55">
        <v>0</v>
      </c>
      <c r="AM106" s="55">
        <v>2670614.5608000001</v>
      </c>
      <c r="AN106" s="63">
        <v>264895.48389999999</v>
      </c>
      <c r="AO106" s="64">
        <v>504056.42058942001</v>
      </c>
      <c r="AP106" s="61">
        <f>+N106-'Приложение №2'!E106</f>
        <v>0</v>
      </c>
      <c r="AQ106" s="1">
        <f>1243271.94-96320.77</f>
        <v>1146951.17</v>
      </c>
      <c r="AR106" s="3">
        <f t="shared" si="37"/>
        <v>273341.64</v>
      </c>
      <c r="AS106" s="3">
        <f t="shared" ref="AS106:AS111" si="38">+(K106*10+L106*20)*12*30</f>
        <v>9647352</v>
      </c>
      <c r="AT106" s="6">
        <f t="shared" si="35"/>
        <v>-9647352</v>
      </c>
      <c r="AU106" s="6" t="e">
        <v>#REF!</v>
      </c>
      <c r="AV106" s="6" t="e">
        <v>#REF!</v>
      </c>
      <c r="AW106" s="62">
        <f t="shared" si="31"/>
        <v>1618117.19564</v>
      </c>
      <c r="AX106" s="55"/>
      <c r="AY106" s="55"/>
      <c r="AZ106" s="55"/>
      <c r="BA106" s="55"/>
      <c r="BB106" s="55">
        <v>1092251.81</v>
      </c>
      <c r="BC106" s="55"/>
      <c r="BD106" s="55"/>
      <c r="BE106" s="55"/>
      <c r="BF106" s="55"/>
      <c r="BG106" s="55">
        <v>0</v>
      </c>
      <c r="BH106" s="55">
        <v>0</v>
      </c>
      <c r="BI106" s="55">
        <v>0</v>
      </c>
      <c r="BJ106" s="55">
        <v>501699.38</v>
      </c>
      <c r="BK106" s="63"/>
      <c r="BL106" s="64">
        <v>24166.005639999999</v>
      </c>
      <c r="BM106" s="8">
        <f t="shared" si="32"/>
        <v>1618117.19564</v>
      </c>
      <c r="BN106" s="55"/>
      <c r="BO106" s="55"/>
      <c r="BP106" s="71"/>
      <c r="BQ106" s="55"/>
      <c r="BR106" s="55">
        <v>1092251.81</v>
      </c>
      <c r="BS106" s="55"/>
      <c r="BT106" s="55"/>
      <c r="BU106" s="55"/>
      <c r="BV106" s="55"/>
      <c r="BW106" s="55">
        <v>0</v>
      </c>
      <c r="BX106" s="55">
        <v>0</v>
      </c>
      <c r="BY106" s="55">
        <v>0</v>
      </c>
      <c r="BZ106" s="55">
        <v>501699.38</v>
      </c>
      <c r="CA106" s="63"/>
      <c r="CB106" s="64">
        <v>24166.005639999999</v>
      </c>
    </row>
    <row r="107" spans="1:80" x14ac:dyDescent="0.25">
      <c r="A107" s="52">
        <f t="shared" si="33"/>
        <v>90</v>
      </c>
      <c r="B107" s="53">
        <f t="shared" si="34"/>
        <v>90</v>
      </c>
      <c r="C107" s="53" t="s">
        <v>108</v>
      </c>
      <c r="D107" s="53" t="s">
        <v>166</v>
      </c>
      <c r="E107" s="54">
        <v>1977</v>
      </c>
      <c r="F107" s="54">
        <v>2013</v>
      </c>
      <c r="G107" s="54" t="s">
        <v>64</v>
      </c>
      <c r="H107" s="54">
        <v>4</v>
      </c>
      <c r="I107" s="54">
        <v>4</v>
      </c>
      <c r="J107" s="55">
        <v>3916.4</v>
      </c>
      <c r="K107" s="55">
        <v>3440.3</v>
      </c>
      <c r="L107" s="55">
        <v>0</v>
      </c>
      <c r="M107" s="56">
        <v>163</v>
      </c>
      <c r="N107" s="62">
        <v>20909986.949686602</v>
      </c>
      <c r="O107" s="55"/>
      <c r="P107" s="63"/>
      <c r="Q107" s="63"/>
      <c r="R107" s="63">
        <v>1967138.52</v>
      </c>
      <c r="S107" s="63">
        <v>12246295.399686599</v>
      </c>
      <c r="T107" s="55">
        <v>6696553.0300000003</v>
      </c>
      <c r="U107" s="63">
        <v>6077.95452422365</v>
      </c>
      <c r="V107" s="63">
        <v>6077.95452422365</v>
      </c>
      <c r="W107" s="59">
        <v>2022</v>
      </c>
      <c r="X107" s="6" t="e">
        <v>#REF!</v>
      </c>
      <c r="Z107" s="62">
        <f t="shared" si="36"/>
        <v>62685332.070000015</v>
      </c>
      <c r="AA107" s="55">
        <v>5740166.1959951399</v>
      </c>
      <c r="AB107" s="55">
        <v>3319695.0395049001</v>
      </c>
      <c r="AC107" s="55">
        <v>3509163.4526478602</v>
      </c>
      <c r="AD107" s="55">
        <v>2675766.9644319601</v>
      </c>
      <c r="AE107" s="55">
        <v>1068914.1259818</v>
      </c>
      <c r="AF107" s="55"/>
      <c r="AG107" s="55">
        <v>285227.34661260003</v>
      </c>
      <c r="AH107" s="55">
        <v>0</v>
      </c>
      <c r="AI107" s="55">
        <v>10218369.7972314</v>
      </c>
      <c r="AJ107" s="55">
        <v>0</v>
      </c>
      <c r="AK107" s="55">
        <v>19839022.9193663</v>
      </c>
      <c r="AL107" s="55">
        <v>7802433.2655801</v>
      </c>
      <c r="AM107" s="55">
        <v>6408816.8778999997</v>
      </c>
      <c r="AN107" s="63">
        <v>626853.32070000004</v>
      </c>
      <c r="AO107" s="64">
        <v>1190902.7640479601</v>
      </c>
      <c r="AP107" s="61">
        <f>+N107-'Приложение №2'!E107</f>
        <v>-3.7252902984619141E-8</v>
      </c>
      <c r="AQ107" s="1">
        <v>1681538.39</v>
      </c>
      <c r="AR107" s="3">
        <f t="shared" si="37"/>
        <v>350910.6</v>
      </c>
      <c r="AS107" s="3">
        <f t="shared" si="38"/>
        <v>12385080</v>
      </c>
      <c r="AT107" s="6">
        <f t="shared" si="35"/>
        <v>-138784.60031340085</v>
      </c>
      <c r="AW107" s="62">
        <f t="shared" si="31"/>
        <v>20909986.949686639</v>
      </c>
      <c r="AX107" s="55"/>
      <c r="AY107" s="55"/>
      <c r="AZ107" s="55"/>
      <c r="BA107" s="55"/>
      <c r="BB107" s="55"/>
      <c r="BC107" s="55"/>
      <c r="BD107" s="55"/>
      <c r="BE107" s="55"/>
      <c r="BF107" s="55">
        <v>8833594.1600000001</v>
      </c>
      <c r="BG107" s="55">
        <v>0</v>
      </c>
      <c r="BH107" s="55">
        <v>11280169.18</v>
      </c>
      <c r="BJ107" s="55">
        <v>157634.31</v>
      </c>
      <c r="BK107" s="63">
        <v>24000</v>
      </c>
      <c r="BL107" s="64">
        <v>614589.29968664004</v>
      </c>
      <c r="BM107" s="8">
        <f t="shared" si="32"/>
        <v>20909986.949686639</v>
      </c>
      <c r="BN107" s="55"/>
      <c r="BO107" s="55"/>
      <c r="BP107" s="71"/>
      <c r="BQ107" s="55"/>
      <c r="BR107" s="55"/>
      <c r="BS107" s="55"/>
      <c r="BT107" s="55"/>
      <c r="BU107" s="55"/>
      <c r="BV107" s="55">
        <v>8833594.1600000001</v>
      </c>
      <c r="BW107" s="55">
        <v>0</v>
      </c>
      <c r="BX107" s="55">
        <v>11280169.18</v>
      </c>
      <c r="BZ107" s="55">
        <v>157634.31</v>
      </c>
      <c r="CA107" s="63">
        <v>24000</v>
      </c>
      <c r="CB107" s="64">
        <v>614589.29968664004</v>
      </c>
    </row>
    <row r="108" spans="1:80" x14ac:dyDescent="0.25">
      <c r="A108" s="52">
        <f t="shared" si="33"/>
        <v>91</v>
      </c>
      <c r="B108" s="53">
        <f t="shared" si="34"/>
        <v>91</v>
      </c>
      <c r="C108" s="53" t="s">
        <v>108</v>
      </c>
      <c r="D108" s="53" t="s">
        <v>167</v>
      </c>
      <c r="E108" s="54">
        <v>1992</v>
      </c>
      <c r="F108" s="54">
        <v>2013</v>
      </c>
      <c r="G108" s="54" t="s">
        <v>64</v>
      </c>
      <c r="H108" s="54">
        <v>5</v>
      </c>
      <c r="I108" s="54">
        <v>4</v>
      </c>
      <c r="J108" s="55">
        <v>5274.7</v>
      </c>
      <c r="K108" s="55">
        <v>4397.95</v>
      </c>
      <c r="L108" s="55">
        <v>82.7</v>
      </c>
      <c r="M108" s="56">
        <v>351</v>
      </c>
      <c r="N108" s="62">
        <v>27714212.622847099</v>
      </c>
      <c r="O108" s="55"/>
      <c r="P108" s="63">
        <v>2576094.2200000002</v>
      </c>
      <c r="Q108" s="63"/>
      <c r="R108" s="63">
        <v>2358216.9700000002</v>
      </c>
      <c r="S108" s="63">
        <v>13394024.1628471</v>
      </c>
      <c r="T108" s="55">
        <v>9385877.2699999996</v>
      </c>
      <c r="U108" s="63">
        <v>6185.3107524236602</v>
      </c>
      <c r="V108" s="63">
        <v>6185.3107524236602</v>
      </c>
      <c r="W108" s="59">
        <v>2022</v>
      </c>
      <c r="X108" s="6" t="e">
        <v>#REF!</v>
      </c>
      <c r="Z108" s="62">
        <f t="shared" si="36"/>
        <v>73758689.840000004</v>
      </c>
      <c r="AA108" s="55">
        <v>6929151.7355478602</v>
      </c>
      <c r="AB108" s="55">
        <v>4007317.87339926</v>
      </c>
      <c r="AC108" s="55">
        <v>4236031.7089398</v>
      </c>
      <c r="AD108" s="55">
        <v>3230010.1851276001</v>
      </c>
      <c r="AE108" s="55">
        <v>0</v>
      </c>
      <c r="AF108" s="55"/>
      <c r="AG108" s="55">
        <v>344307.72949692002</v>
      </c>
      <c r="AH108" s="55">
        <v>0</v>
      </c>
      <c r="AI108" s="55">
        <v>12334945.070788199</v>
      </c>
      <c r="AJ108" s="55">
        <v>0</v>
      </c>
      <c r="AK108" s="55">
        <v>23948365.8336569</v>
      </c>
      <c r="AL108" s="55">
        <v>9418585.1320217997</v>
      </c>
      <c r="AM108" s="55">
        <v>7163024.8004000001</v>
      </c>
      <c r="AN108" s="63">
        <v>737586.89839999995</v>
      </c>
      <c r="AO108" s="64">
        <v>1409362.8722216799</v>
      </c>
      <c r="AP108" s="61">
        <f>+N108-'Приложение №2'!E108</f>
        <v>0</v>
      </c>
      <c r="AQ108" s="1">
        <v>1987606.27</v>
      </c>
      <c r="AR108" s="3">
        <f t="shared" si="37"/>
        <v>465461.7</v>
      </c>
      <c r="AS108" s="3">
        <f t="shared" si="38"/>
        <v>16428060</v>
      </c>
      <c r="AT108" s="6">
        <f t="shared" si="35"/>
        <v>-3034035.8371529002</v>
      </c>
      <c r="AW108" s="62">
        <f t="shared" si="31"/>
        <v>27714212.62284708</v>
      </c>
      <c r="AX108" s="55"/>
      <c r="AZ108" s="55">
        <v>3146864.52</v>
      </c>
      <c r="BA108" s="55">
        <v>2896787.04</v>
      </c>
      <c r="BB108" s="55">
        <v>0</v>
      </c>
      <c r="BC108" s="55"/>
      <c r="BD108" s="55"/>
      <c r="BE108" s="55">
        <v>0</v>
      </c>
      <c r="BF108" s="55">
        <v>9859124.0999999996</v>
      </c>
      <c r="BG108" s="55">
        <v>0</v>
      </c>
      <c r="BH108" s="55">
        <v>6508599.5899999999</v>
      </c>
      <c r="BI108" s="55">
        <v>3276300</v>
      </c>
      <c r="BJ108" s="55">
        <v>434057.5</v>
      </c>
      <c r="BK108" s="63">
        <v>24000</v>
      </c>
      <c r="BL108" s="64">
        <v>1568479.87284708</v>
      </c>
      <c r="BM108" s="8">
        <f t="shared" si="32"/>
        <v>27714212.62284708</v>
      </c>
      <c r="BN108" s="55"/>
      <c r="BP108" s="71">
        <v>3146864.52</v>
      </c>
      <c r="BQ108" s="55">
        <v>2896787.04</v>
      </c>
      <c r="BR108" s="55">
        <v>0</v>
      </c>
      <c r="BS108" s="55"/>
      <c r="BT108" s="55"/>
      <c r="BU108" s="55">
        <v>0</v>
      </c>
      <c r="BV108" s="55">
        <v>9859124.0999999996</v>
      </c>
      <c r="BW108" s="55">
        <v>0</v>
      </c>
      <c r="BX108" s="55">
        <v>6508599.5899999999</v>
      </c>
      <c r="BY108" s="55">
        <v>3276300</v>
      </c>
      <c r="BZ108" s="55">
        <v>434057.5</v>
      </c>
      <c r="CA108" s="63">
        <v>24000</v>
      </c>
      <c r="CB108" s="64">
        <v>1568479.87284708</v>
      </c>
    </row>
    <row r="109" spans="1:80" x14ac:dyDescent="0.25">
      <c r="A109" s="52">
        <f t="shared" si="33"/>
        <v>92</v>
      </c>
      <c r="B109" s="53">
        <f t="shared" si="34"/>
        <v>92</v>
      </c>
      <c r="C109" s="53" t="s">
        <v>108</v>
      </c>
      <c r="D109" s="53" t="s">
        <v>168</v>
      </c>
      <c r="E109" s="54">
        <v>1987</v>
      </c>
      <c r="F109" s="54">
        <v>1987</v>
      </c>
      <c r="G109" s="54" t="s">
        <v>64</v>
      </c>
      <c r="H109" s="54">
        <v>5</v>
      </c>
      <c r="I109" s="54">
        <v>3</v>
      </c>
      <c r="J109" s="55">
        <v>5170.7</v>
      </c>
      <c r="K109" s="55">
        <v>2871.7</v>
      </c>
      <c r="L109" s="55">
        <v>2299</v>
      </c>
      <c r="M109" s="56">
        <v>334</v>
      </c>
      <c r="N109" s="62">
        <v>14611197.907108899</v>
      </c>
      <c r="O109" s="55"/>
      <c r="P109" s="63">
        <v>3490403.93</v>
      </c>
      <c r="Q109" s="63"/>
      <c r="R109" s="63">
        <v>2203254.02</v>
      </c>
      <c r="S109" s="63">
        <v>8917539.9571089204</v>
      </c>
      <c r="T109" s="55"/>
      <c r="U109" s="63">
        <v>2825.7678664608102</v>
      </c>
      <c r="V109" s="63">
        <v>2825.7678664608102</v>
      </c>
      <c r="W109" s="59">
        <v>2022</v>
      </c>
      <c r="X109" s="6" t="e">
        <v>#REF!</v>
      </c>
      <c r="Z109" s="62">
        <f t="shared" si="36"/>
        <v>44376055.650000006</v>
      </c>
      <c r="AA109" s="55">
        <v>6705846.8643129598</v>
      </c>
      <c r="AB109" s="55">
        <v>2389568.92118868</v>
      </c>
      <c r="AC109" s="55">
        <v>2496567.8323118398</v>
      </c>
      <c r="AD109" s="55">
        <v>1563009.3139332</v>
      </c>
      <c r="AE109" s="55">
        <v>0</v>
      </c>
      <c r="AF109" s="55"/>
      <c r="AG109" s="55">
        <v>257321.70331308001</v>
      </c>
      <c r="AH109" s="55">
        <v>0</v>
      </c>
      <c r="AI109" s="55">
        <v>12259308.387853799</v>
      </c>
      <c r="AJ109" s="55">
        <v>0</v>
      </c>
      <c r="AK109" s="55">
        <v>6365089.67499342</v>
      </c>
      <c r="AL109" s="55">
        <v>6865494.2663706001</v>
      </c>
      <c r="AM109" s="55">
        <v>4179375.6532000001</v>
      </c>
      <c r="AN109" s="63">
        <v>443760.55650000001</v>
      </c>
      <c r="AO109" s="64">
        <v>850712.47602241999</v>
      </c>
      <c r="AP109" s="61">
        <f>+N109-'Приложение №2'!E109</f>
        <v>-2.0489096641540527E-8</v>
      </c>
      <c r="AQ109" s="1">
        <v>2578731.31</v>
      </c>
      <c r="AR109" s="3">
        <f t="shared" si="37"/>
        <v>761909.4</v>
      </c>
      <c r="AS109" s="3">
        <f t="shared" si="38"/>
        <v>26890920</v>
      </c>
      <c r="AT109" s="6">
        <f t="shared" si="35"/>
        <v>-17973380.042891078</v>
      </c>
      <c r="AW109" s="62">
        <f t="shared" si="31"/>
        <v>14611197.90710892</v>
      </c>
      <c r="AX109" s="55"/>
      <c r="AZ109" s="55">
        <v>2731732.82</v>
      </c>
      <c r="BB109" s="55">
        <v>0</v>
      </c>
      <c r="BC109" s="55"/>
      <c r="BD109" s="55"/>
      <c r="BE109" s="55">
        <v>0</v>
      </c>
      <c r="BF109" s="55">
        <v>9356498.1500000004</v>
      </c>
      <c r="BG109" s="55">
        <v>0</v>
      </c>
      <c r="BH109" s="55"/>
      <c r="BI109" s="55">
        <v>1381241.93</v>
      </c>
      <c r="BJ109" s="55">
        <v>311041.28110000002</v>
      </c>
      <c r="BK109" s="63">
        <v>45051.6011</v>
      </c>
      <c r="BL109" s="64">
        <v>785632.12490892003</v>
      </c>
      <c r="BM109" s="8">
        <f t="shared" si="32"/>
        <v>14611197.90710892</v>
      </c>
      <c r="BN109" s="55"/>
      <c r="BP109" s="71">
        <v>2731732.82</v>
      </c>
      <c r="BR109" s="55">
        <v>0</v>
      </c>
      <c r="BS109" s="55"/>
      <c r="BT109" s="55"/>
      <c r="BU109" s="55">
        <v>0</v>
      </c>
      <c r="BV109" s="55">
        <v>9356498.1500000004</v>
      </c>
      <c r="BW109" s="55">
        <v>0</v>
      </c>
      <c r="BX109" s="55"/>
      <c r="BY109" s="55">
        <v>1381241.93</v>
      </c>
      <c r="BZ109" s="55">
        <v>311041.28110000002</v>
      </c>
      <c r="CA109" s="63">
        <v>45051.6011</v>
      </c>
      <c r="CB109" s="64">
        <v>785632.12490892003</v>
      </c>
    </row>
    <row r="110" spans="1:80" x14ac:dyDescent="0.25">
      <c r="A110" s="52">
        <f t="shared" si="33"/>
        <v>93</v>
      </c>
      <c r="B110" s="53">
        <f t="shared" si="34"/>
        <v>93</v>
      </c>
      <c r="C110" s="53" t="s">
        <v>108</v>
      </c>
      <c r="D110" s="53" t="s">
        <v>169</v>
      </c>
      <c r="E110" s="54">
        <v>1970</v>
      </c>
      <c r="F110" s="54">
        <v>2013</v>
      </c>
      <c r="G110" s="54" t="s">
        <v>64</v>
      </c>
      <c r="H110" s="54">
        <v>4</v>
      </c>
      <c r="I110" s="54">
        <v>4</v>
      </c>
      <c r="J110" s="55">
        <v>3209.3</v>
      </c>
      <c r="K110" s="55">
        <v>2718.2</v>
      </c>
      <c r="L110" s="55">
        <v>0</v>
      </c>
      <c r="M110" s="56">
        <v>128</v>
      </c>
      <c r="N110" s="62">
        <v>1092667.3</v>
      </c>
      <c r="O110" s="55"/>
      <c r="P110" s="63">
        <v>923688.17</v>
      </c>
      <c r="Q110" s="63"/>
      <c r="R110" s="63"/>
      <c r="S110" s="63">
        <v>168979.13</v>
      </c>
      <c r="T110" s="55">
        <v>0</v>
      </c>
      <c r="U110" s="63">
        <v>401.98193657567498</v>
      </c>
      <c r="V110" s="63">
        <v>401.98193657567498</v>
      </c>
      <c r="W110" s="59">
        <v>2022</v>
      </c>
      <c r="X110" s="6" t="e">
        <v>#REF!</v>
      </c>
      <c r="Z110" s="62">
        <f t="shared" si="36"/>
        <v>8384825.7976820003</v>
      </c>
      <c r="AA110" s="55">
        <v>0</v>
      </c>
      <c r="AB110" s="55">
        <v>0</v>
      </c>
      <c r="AC110" s="55">
        <v>0</v>
      </c>
      <c r="AD110" s="55">
        <v>0</v>
      </c>
      <c r="AE110" s="55">
        <v>1159895.3899999999</v>
      </c>
      <c r="AF110" s="55"/>
      <c r="AG110" s="55">
        <v>0</v>
      </c>
      <c r="AH110" s="55">
        <v>0</v>
      </c>
      <c r="AI110" s="55">
        <v>0</v>
      </c>
      <c r="AJ110" s="55">
        <v>0</v>
      </c>
      <c r="AK110" s="55">
        <v>6147987.2414091602</v>
      </c>
      <c r="AL110" s="55">
        <v>0</v>
      </c>
      <c r="AM110" s="55">
        <v>864115.304</v>
      </c>
      <c r="AN110" s="63">
        <v>72811.335399999996</v>
      </c>
      <c r="AO110" s="64">
        <v>140016.52687284001</v>
      </c>
      <c r="AP110" s="61">
        <f>+N110-'Приложение №2'!E110</f>
        <v>0</v>
      </c>
      <c r="AQ110" s="1">
        <v>1140903.55</v>
      </c>
      <c r="AR110" s="3">
        <f t="shared" si="37"/>
        <v>277256.39999999997</v>
      </c>
      <c r="AS110" s="3">
        <f t="shared" si="38"/>
        <v>9785520</v>
      </c>
      <c r="AT110" s="6">
        <f t="shared" si="35"/>
        <v>-9616540.8699999992</v>
      </c>
      <c r="AW110" s="62">
        <f t="shared" si="31"/>
        <v>1092667.3</v>
      </c>
      <c r="AX110" s="55">
        <v>0</v>
      </c>
      <c r="AY110" s="55">
        <v>0</v>
      </c>
      <c r="AZ110" s="55">
        <v>0</v>
      </c>
      <c r="BA110" s="55">
        <v>0</v>
      </c>
      <c r="BB110" s="55">
        <v>1092667.3</v>
      </c>
      <c r="BC110" s="55"/>
      <c r="BD110" s="55"/>
      <c r="BE110" s="55">
        <v>0</v>
      </c>
      <c r="BF110" s="55">
        <v>0</v>
      </c>
      <c r="BG110" s="55">
        <v>0</v>
      </c>
      <c r="BH110" s="55"/>
      <c r="BI110" s="55">
        <v>0</v>
      </c>
      <c r="BJ110" s="55"/>
      <c r="BK110" s="63"/>
      <c r="BL110" s="64"/>
      <c r="BM110" s="8">
        <f t="shared" si="32"/>
        <v>1092667.3</v>
      </c>
      <c r="BN110" s="55">
        <v>0</v>
      </c>
      <c r="BO110" s="55">
        <v>0</v>
      </c>
      <c r="BP110" s="71">
        <v>0</v>
      </c>
      <c r="BQ110" s="55">
        <v>0</v>
      </c>
      <c r="BR110" s="55">
        <v>1092667.3</v>
      </c>
      <c r="BS110" s="55"/>
      <c r="BT110" s="55"/>
      <c r="BU110" s="55">
        <v>0</v>
      </c>
      <c r="BV110" s="55">
        <v>0</v>
      </c>
      <c r="BW110" s="55">
        <v>0</v>
      </c>
      <c r="BX110" s="55"/>
      <c r="BY110" s="55">
        <v>0</v>
      </c>
      <c r="BZ110" s="55"/>
      <c r="CA110" s="63"/>
      <c r="CB110" s="64"/>
    </row>
    <row r="111" spans="1:80" x14ac:dyDescent="0.25">
      <c r="A111" s="52">
        <f t="shared" si="33"/>
        <v>94</v>
      </c>
      <c r="B111" s="53">
        <f t="shared" si="34"/>
        <v>94</v>
      </c>
      <c r="C111" s="53" t="s">
        <v>108</v>
      </c>
      <c r="D111" s="53" t="s">
        <v>170</v>
      </c>
      <c r="E111" s="54">
        <v>1973</v>
      </c>
      <c r="F111" s="54">
        <v>2013</v>
      </c>
      <c r="G111" s="54" t="s">
        <v>64</v>
      </c>
      <c r="H111" s="54">
        <v>4</v>
      </c>
      <c r="I111" s="54">
        <v>4</v>
      </c>
      <c r="J111" s="55">
        <v>4678.76</v>
      </c>
      <c r="K111" s="55">
        <v>3451.8</v>
      </c>
      <c r="L111" s="55">
        <v>0</v>
      </c>
      <c r="M111" s="56">
        <v>168</v>
      </c>
      <c r="N111" s="57">
        <v>1944736.54</v>
      </c>
      <c r="O111" s="55"/>
      <c r="P111" s="63"/>
      <c r="Q111" s="63"/>
      <c r="R111" s="63">
        <v>1874829.57</v>
      </c>
      <c r="S111" s="63">
        <v>69906.970000000205</v>
      </c>
      <c r="T111" s="63">
        <v>0</v>
      </c>
      <c r="U111" s="55">
        <v>563.39780404426699</v>
      </c>
      <c r="V111" s="55">
        <v>563.39780404426699</v>
      </c>
      <c r="W111" s="59">
        <v>2022</v>
      </c>
      <c r="X111" s="6" t="e">
        <v>#REF!</v>
      </c>
      <c r="Z111" s="62">
        <f t="shared" si="36"/>
        <v>1494080.68</v>
      </c>
      <c r="AA111" s="55">
        <v>0</v>
      </c>
      <c r="AB111" s="55">
        <v>0</v>
      </c>
      <c r="AC111" s="55">
        <v>0</v>
      </c>
      <c r="AD111" s="55">
        <v>0</v>
      </c>
      <c r="AE111" s="55">
        <v>1274871.31</v>
      </c>
      <c r="AF111" s="55"/>
      <c r="AG111" s="55">
        <v>0</v>
      </c>
      <c r="AH111" s="55">
        <v>0</v>
      </c>
      <c r="AI111" s="55">
        <v>0</v>
      </c>
      <c r="AJ111" s="55">
        <v>0</v>
      </c>
      <c r="AK111" s="55">
        <v>0</v>
      </c>
      <c r="AL111" s="55">
        <v>0</v>
      </c>
      <c r="AM111" s="55">
        <v>209316.16</v>
      </c>
      <c r="AN111" s="63">
        <v>2500</v>
      </c>
      <c r="AO111" s="64">
        <v>7393.21</v>
      </c>
      <c r="AP111" s="61">
        <f>+N111-'Приложение №2'!E111</f>
        <v>0</v>
      </c>
      <c r="AQ111" s="6">
        <f>1522745.97</f>
        <v>1522745.97</v>
      </c>
      <c r="AR111" s="3">
        <f t="shared" si="37"/>
        <v>352083.6</v>
      </c>
      <c r="AS111" s="3">
        <f t="shared" si="38"/>
        <v>12426480</v>
      </c>
      <c r="AT111" s="6">
        <f t="shared" si="35"/>
        <v>-12356573.029999999</v>
      </c>
      <c r="AU111" s="6" t="e">
        <v>#REF!</v>
      </c>
      <c r="AV111" s="6" t="e">
        <v>#REF!</v>
      </c>
      <c r="AW111" s="62">
        <f t="shared" si="31"/>
        <v>1944736.54</v>
      </c>
      <c r="AX111" s="55">
        <v>0</v>
      </c>
      <c r="AY111" s="55">
        <v>0</v>
      </c>
      <c r="AZ111" s="55">
        <v>0</v>
      </c>
      <c r="BA111" s="55">
        <v>0</v>
      </c>
      <c r="BB111" s="55"/>
      <c r="BC111" s="55"/>
      <c r="BD111" s="55"/>
      <c r="BE111" s="55">
        <v>0</v>
      </c>
      <c r="BF111" s="55">
        <v>0</v>
      </c>
      <c r="BG111" s="55">
        <v>0</v>
      </c>
      <c r="BH111" s="55">
        <v>0</v>
      </c>
      <c r="BI111" s="55">
        <v>1937343.33</v>
      </c>
      <c r="BJ111" s="55"/>
      <c r="BK111" s="63"/>
      <c r="BL111" s="64">
        <v>7393.21</v>
      </c>
      <c r="BM111" s="8">
        <f t="shared" si="32"/>
        <v>1944736.54</v>
      </c>
      <c r="BN111" s="55">
        <v>0</v>
      </c>
      <c r="BO111" s="55">
        <v>0</v>
      </c>
      <c r="BP111" s="71">
        <v>0</v>
      </c>
      <c r="BQ111" s="55">
        <v>0</v>
      </c>
      <c r="BR111" s="55"/>
      <c r="BS111" s="55"/>
      <c r="BT111" s="55"/>
      <c r="BU111" s="55">
        <v>0</v>
      </c>
      <c r="BV111" s="55">
        <v>0</v>
      </c>
      <c r="BW111" s="55">
        <v>0</v>
      </c>
      <c r="BX111" s="55">
        <v>0</v>
      </c>
      <c r="BY111" s="55">
        <v>1937343.33</v>
      </c>
      <c r="BZ111" s="55"/>
      <c r="CA111" s="63"/>
      <c r="CB111" s="64">
        <v>7393.21</v>
      </c>
    </row>
    <row r="112" spans="1:80" x14ac:dyDescent="0.25">
      <c r="A112" s="52">
        <f t="shared" si="33"/>
        <v>95</v>
      </c>
      <c r="B112" s="53">
        <f t="shared" si="34"/>
        <v>95</v>
      </c>
      <c r="C112" s="53" t="s">
        <v>108</v>
      </c>
      <c r="D112" s="53" t="s">
        <v>171</v>
      </c>
      <c r="E112" s="54">
        <v>1989</v>
      </c>
      <c r="F112" s="54">
        <v>2012</v>
      </c>
      <c r="G112" s="54" t="s">
        <v>64</v>
      </c>
      <c r="H112" s="54">
        <v>9</v>
      </c>
      <c r="I112" s="54">
        <v>1</v>
      </c>
      <c r="J112" s="55">
        <v>5704.32</v>
      </c>
      <c r="K112" s="55">
        <v>3900.7</v>
      </c>
      <c r="L112" s="55">
        <v>0</v>
      </c>
      <c r="M112" s="56">
        <v>280</v>
      </c>
      <c r="N112" s="57">
        <v>3493023.9110059999</v>
      </c>
      <c r="O112" s="55"/>
      <c r="P112" s="63"/>
      <c r="Q112" s="63"/>
      <c r="R112" s="63">
        <v>2691688.4906000001</v>
      </c>
      <c r="S112" s="63">
        <v>801335.42040599999</v>
      </c>
      <c r="T112" s="63">
        <v>0</v>
      </c>
      <c r="U112" s="55">
        <v>895.48642833491397</v>
      </c>
      <c r="V112" s="55">
        <v>895.48642833491397</v>
      </c>
      <c r="W112" s="59">
        <v>2022</v>
      </c>
      <c r="X112" s="6" t="e">
        <v>#REF!</v>
      </c>
      <c r="Z112" s="62">
        <f t="shared" si="36"/>
        <v>4018667.23</v>
      </c>
      <c r="AA112" s="55">
        <v>0</v>
      </c>
      <c r="AB112" s="55">
        <v>0</v>
      </c>
      <c r="AC112" s="55">
        <v>0</v>
      </c>
      <c r="AD112" s="55">
        <v>0</v>
      </c>
      <c r="AE112" s="55">
        <v>0</v>
      </c>
      <c r="AF112" s="55"/>
      <c r="AG112" s="55">
        <v>0</v>
      </c>
      <c r="AH112" s="55">
        <v>0</v>
      </c>
      <c r="AI112" s="55">
        <v>3789709.0289940001</v>
      </c>
      <c r="AJ112" s="55">
        <v>0</v>
      </c>
      <c r="AK112" s="55">
        <v>0</v>
      </c>
      <c r="AL112" s="55">
        <v>0</v>
      </c>
      <c r="AM112" s="55">
        <v>122084.94</v>
      </c>
      <c r="AN112" s="55">
        <v>24000</v>
      </c>
      <c r="AO112" s="64">
        <v>82873.261006000001</v>
      </c>
      <c r="AP112" s="61">
        <f>+N112-'Приложение №2'!E112</f>
        <v>0</v>
      </c>
      <c r="AQ112" s="1">
        <v>2162917.4</v>
      </c>
      <c r="AR112" s="3">
        <f>+(K112*13.29+L112*22.52)*12*0.85</f>
        <v>528771.09059999988</v>
      </c>
      <c r="AS112" s="3">
        <f>+(K112*13.29+L112*22.52)*12*30</f>
        <v>18662509.079999998</v>
      </c>
      <c r="AT112" s="6">
        <f t="shared" si="35"/>
        <v>-17861173.659593999</v>
      </c>
      <c r="AU112" s="6" t="e">
        <v>#REF!</v>
      </c>
      <c r="AV112" s="6" t="e">
        <v>#REF!</v>
      </c>
      <c r="AW112" s="62">
        <f t="shared" si="31"/>
        <v>3493023.9110059999</v>
      </c>
      <c r="AX112" s="55">
        <v>0</v>
      </c>
      <c r="AY112" s="55">
        <v>0</v>
      </c>
      <c r="AZ112" s="55">
        <v>0</v>
      </c>
      <c r="BA112" s="55">
        <v>0</v>
      </c>
      <c r="BB112" s="55">
        <v>0</v>
      </c>
      <c r="BC112" s="55"/>
      <c r="BD112" s="55"/>
      <c r="BE112" s="55">
        <v>0</v>
      </c>
      <c r="BF112" s="55">
        <v>3264065.71</v>
      </c>
      <c r="BG112" s="55">
        <v>0</v>
      </c>
      <c r="BH112" s="55">
        <v>0</v>
      </c>
      <c r="BI112" s="55">
        <v>0</v>
      </c>
      <c r="BJ112" s="55">
        <v>122084.94</v>
      </c>
      <c r="BK112" s="55">
        <v>24000</v>
      </c>
      <c r="BL112" s="64">
        <v>82873.261006000001</v>
      </c>
      <c r="BM112" s="8">
        <f t="shared" si="32"/>
        <v>3493023.9110059999</v>
      </c>
      <c r="BN112" s="55">
        <v>0</v>
      </c>
      <c r="BO112" s="55">
        <v>0</v>
      </c>
      <c r="BP112" s="71">
        <v>0</v>
      </c>
      <c r="BQ112" s="55">
        <v>0</v>
      </c>
      <c r="BR112" s="55">
        <v>0</v>
      </c>
      <c r="BS112" s="55"/>
      <c r="BT112" s="55"/>
      <c r="BU112" s="55">
        <v>0</v>
      </c>
      <c r="BV112" s="55">
        <v>3264065.71</v>
      </c>
      <c r="BW112" s="55">
        <v>0</v>
      </c>
      <c r="BX112" s="55">
        <v>0</v>
      </c>
      <c r="BY112" s="55">
        <v>0</v>
      </c>
      <c r="BZ112" s="55">
        <v>122084.94</v>
      </c>
      <c r="CA112" s="55">
        <v>24000</v>
      </c>
      <c r="CB112" s="64">
        <v>82873.261006000001</v>
      </c>
    </row>
    <row r="113" spans="1:80" x14ac:dyDescent="0.25">
      <c r="A113" s="52">
        <f t="shared" si="33"/>
        <v>96</v>
      </c>
      <c r="B113" s="53">
        <f t="shared" si="34"/>
        <v>96</v>
      </c>
      <c r="C113" s="53" t="s">
        <v>108</v>
      </c>
      <c r="D113" s="53" t="s">
        <v>172</v>
      </c>
      <c r="E113" s="54">
        <v>1992</v>
      </c>
      <c r="F113" s="54">
        <v>2013</v>
      </c>
      <c r="G113" s="54" t="s">
        <v>64</v>
      </c>
      <c r="H113" s="54">
        <v>10</v>
      </c>
      <c r="I113" s="54">
        <v>4</v>
      </c>
      <c r="J113" s="55">
        <v>12644.49</v>
      </c>
      <c r="K113" s="55">
        <v>10557.43</v>
      </c>
      <c r="L113" s="55">
        <v>90.5</v>
      </c>
      <c r="M113" s="56">
        <v>379</v>
      </c>
      <c r="N113" s="62">
        <v>8609691.4240093995</v>
      </c>
      <c r="O113" s="55"/>
      <c r="P113" s="63"/>
      <c r="Q113" s="63"/>
      <c r="R113" s="63">
        <v>6910298.2999999998</v>
      </c>
      <c r="S113" s="63">
        <v>1699393.1240093999</v>
      </c>
      <c r="T113" s="55">
        <v>0</v>
      </c>
      <c r="U113" s="63">
        <v>808.57889035797598</v>
      </c>
      <c r="V113" s="63">
        <v>808.57889035797598</v>
      </c>
      <c r="W113" s="59">
        <v>2022</v>
      </c>
      <c r="X113" s="6" t="e">
        <v>#REF!</v>
      </c>
      <c r="Z113" s="62">
        <f t="shared" si="36"/>
        <v>9468137.6899999995</v>
      </c>
      <c r="AA113" s="55">
        <v>0</v>
      </c>
      <c r="AB113" s="55">
        <v>0</v>
      </c>
      <c r="AC113" s="55">
        <v>0</v>
      </c>
      <c r="AD113" s="55">
        <v>0</v>
      </c>
      <c r="AE113" s="55">
        <v>0</v>
      </c>
      <c r="AF113" s="55"/>
      <c r="AG113" s="55">
        <v>0</v>
      </c>
      <c r="AH113" s="55">
        <v>0</v>
      </c>
      <c r="AI113" s="55">
        <v>8338967.5890905997</v>
      </c>
      <c r="AJ113" s="55">
        <v>0</v>
      </c>
      <c r="AK113" s="55">
        <v>0</v>
      </c>
      <c r="AL113" s="55">
        <v>0</v>
      </c>
      <c r="AM113" s="55">
        <v>852132.39210000006</v>
      </c>
      <c r="AN113" s="63">
        <v>94681.376900000003</v>
      </c>
      <c r="AO113" s="64">
        <v>182356.3319094</v>
      </c>
      <c r="AP113" s="61">
        <f>+N113-'Приложение №2'!E113</f>
        <v>0</v>
      </c>
      <c r="AQ113" s="1">
        <v>6495346.2400000002</v>
      </c>
      <c r="AR113" s="3">
        <f>+(K113*13.29+L113*22.52)*12*0.85</f>
        <v>1451932.3079399997</v>
      </c>
      <c r="AS113" s="3">
        <f>+(K113*13.29+L113*22.52)*12*30</f>
        <v>51244669.691999994</v>
      </c>
      <c r="AT113" s="6">
        <f t="shared" si="35"/>
        <v>-49545276.567990594</v>
      </c>
      <c r="AW113" s="62">
        <f t="shared" si="31"/>
        <v>8609691.4240093995</v>
      </c>
      <c r="AX113" s="55">
        <v>0</v>
      </c>
      <c r="AY113" s="55">
        <v>0</v>
      </c>
      <c r="AZ113" s="55">
        <v>0</v>
      </c>
      <c r="BA113" s="55">
        <v>0</v>
      </c>
      <c r="BB113" s="55">
        <v>0</v>
      </c>
      <c r="BC113" s="55"/>
      <c r="BD113" s="55"/>
      <c r="BE113" s="55">
        <v>0</v>
      </c>
      <c r="BF113" s="55">
        <v>7551202.7000000002</v>
      </c>
      <c r="BG113" s="55">
        <v>0</v>
      </c>
      <c r="BH113" s="55">
        <v>0</v>
      </c>
      <c r="BI113" s="55">
        <v>0</v>
      </c>
      <c r="BJ113" s="55">
        <v>852132.39210000006</v>
      </c>
      <c r="BK113" s="63">
        <v>24000</v>
      </c>
      <c r="BL113" s="64">
        <v>182356.3319094</v>
      </c>
      <c r="BM113" s="8">
        <f t="shared" si="32"/>
        <v>8609691.4240093995</v>
      </c>
      <c r="BN113" s="55">
        <v>0</v>
      </c>
      <c r="BO113" s="55">
        <v>0</v>
      </c>
      <c r="BP113" s="71">
        <v>0</v>
      </c>
      <c r="BQ113" s="55">
        <v>0</v>
      </c>
      <c r="BR113" s="55">
        <v>0</v>
      </c>
      <c r="BS113" s="55"/>
      <c r="BT113" s="55"/>
      <c r="BU113" s="55">
        <v>0</v>
      </c>
      <c r="BV113" s="55">
        <v>7551202.7000000002</v>
      </c>
      <c r="BW113" s="55">
        <v>0</v>
      </c>
      <c r="BX113" s="55">
        <v>0</v>
      </c>
      <c r="BY113" s="55">
        <v>0</v>
      </c>
      <c r="BZ113" s="55">
        <v>852132.39210000006</v>
      </c>
      <c r="CA113" s="63">
        <v>24000</v>
      </c>
      <c r="CB113" s="64">
        <v>182356.3319094</v>
      </c>
    </row>
    <row r="114" spans="1:80" x14ac:dyDescent="0.25">
      <c r="A114" s="52">
        <f t="shared" si="33"/>
        <v>97</v>
      </c>
      <c r="B114" s="53">
        <f t="shared" si="34"/>
        <v>97</v>
      </c>
      <c r="C114" s="53" t="s">
        <v>108</v>
      </c>
      <c r="D114" s="53" t="s">
        <v>173</v>
      </c>
      <c r="E114" s="54">
        <v>1980</v>
      </c>
      <c r="F114" s="54">
        <v>2008</v>
      </c>
      <c r="G114" s="54" t="s">
        <v>64</v>
      </c>
      <c r="H114" s="54">
        <v>5</v>
      </c>
      <c r="I114" s="54">
        <v>6</v>
      </c>
      <c r="J114" s="55">
        <v>7149.4</v>
      </c>
      <c r="K114" s="55">
        <v>6325.2</v>
      </c>
      <c r="L114" s="55">
        <v>0</v>
      </c>
      <c r="M114" s="56">
        <v>293</v>
      </c>
      <c r="N114" s="62">
        <v>18469307.3267552</v>
      </c>
      <c r="O114" s="55"/>
      <c r="P114" s="63"/>
      <c r="Q114" s="63"/>
      <c r="R114" s="63">
        <v>1661064.07</v>
      </c>
      <c r="S114" s="63">
        <v>16808243.256755199</v>
      </c>
      <c r="T114" s="63">
        <v>0</v>
      </c>
      <c r="U114" s="63">
        <v>2919.9562585776198</v>
      </c>
      <c r="V114" s="63">
        <v>2919.9562585776198</v>
      </c>
      <c r="W114" s="59">
        <v>2022</v>
      </c>
      <c r="X114" s="6" t="e">
        <v>#REF!</v>
      </c>
      <c r="Z114" s="62">
        <f t="shared" si="36"/>
        <v>114548451.67000006</v>
      </c>
      <c r="AA114" s="55">
        <v>10489330.258041199</v>
      </c>
      <c r="AB114" s="55">
        <v>6066266.4462859202</v>
      </c>
      <c r="AC114" s="55">
        <v>6412492.7922270596</v>
      </c>
      <c r="AD114" s="55">
        <v>4889580.2685995996</v>
      </c>
      <c r="AE114" s="55">
        <v>1953287.2251610199</v>
      </c>
      <c r="AF114" s="55"/>
      <c r="AG114" s="55">
        <v>521212.05792599998</v>
      </c>
      <c r="AH114" s="55">
        <v>0</v>
      </c>
      <c r="AI114" s="55">
        <v>18672604.894377001</v>
      </c>
      <c r="AJ114" s="55">
        <v>0</v>
      </c>
      <c r="AK114" s="55">
        <v>36252968.326471299</v>
      </c>
      <c r="AL114" s="55">
        <v>14257827.475101</v>
      </c>
      <c r="AM114" s="55">
        <v>11711193.4519</v>
      </c>
      <c r="AN114" s="63">
        <v>1145484.5167</v>
      </c>
      <c r="AO114" s="64">
        <v>2176203.9572099601</v>
      </c>
      <c r="AP114" s="61">
        <f>+N114-'Приложение №2'!E114</f>
        <v>3.7252902984619141E-8</v>
      </c>
      <c r="AQ114" s="1">
        <v>3044323.81</v>
      </c>
      <c r="AR114" s="3">
        <f t="shared" ref="AR114:AR122" si="39">+(K114*10+L114*20)*12*0.85</f>
        <v>645170.4</v>
      </c>
      <c r="AS114" s="3">
        <f t="shared" ref="AS114:AS122" si="40">+(K114*10+L114*20)*12*30</f>
        <v>22770720</v>
      </c>
      <c r="AT114" s="6">
        <f t="shared" si="35"/>
        <v>-5962476.7432448007</v>
      </c>
      <c r="AW114" s="62">
        <f t="shared" ref="AW114:AW145" si="41">SUBTOTAL(9, AX114:BL114)</f>
        <v>18469307.326755162</v>
      </c>
      <c r="AY114" s="55"/>
      <c r="BB114" s="55"/>
      <c r="BC114" s="55"/>
      <c r="BD114" s="55"/>
      <c r="BE114" s="55">
        <v>0</v>
      </c>
      <c r="BF114" s="55">
        <v>12780973.57</v>
      </c>
      <c r="BG114" s="55">
        <v>0</v>
      </c>
      <c r="BH114" s="55"/>
      <c r="BI114" s="55"/>
      <c r="BJ114" s="55">
        <v>4341944.4309</v>
      </c>
      <c r="BK114" s="63">
        <v>461523.41970000003</v>
      </c>
      <c r="BL114" s="64">
        <v>884865.90615516005</v>
      </c>
      <c r="BM114" s="8">
        <f t="shared" ref="BM114:BM145" si="42">SUBTOTAL(9, BN114:CB114)</f>
        <v>18469307.326755162</v>
      </c>
      <c r="BO114" s="55"/>
      <c r="BP114" s="72"/>
      <c r="BR114" s="55"/>
      <c r="BS114" s="55"/>
      <c r="BT114" s="55"/>
      <c r="BU114" s="55">
        <v>0</v>
      </c>
      <c r="BV114" s="55">
        <v>12780973.57</v>
      </c>
      <c r="BW114" s="55">
        <v>0</v>
      </c>
      <c r="BX114" s="55"/>
      <c r="BY114" s="55"/>
      <c r="BZ114" s="55">
        <v>4341944.4309</v>
      </c>
      <c r="CA114" s="63">
        <v>461523.41970000003</v>
      </c>
      <c r="CB114" s="64">
        <v>884865.90615516005</v>
      </c>
    </row>
    <row r="115" spans="1:80" x14ac:dyDescent="0.25">
      <c r="A115" s="52">
        <f t="shared" ref="A115:A146" si="43">+A114+1</f>
        <v>98</v>
      </c>
      <c r="B115" s="53">
        <f t="shared" ref="B115:B146" si="44">+B114+1</f>
        <v>98</v>
      </c>
      <c r="C115" s="53" t="s">
        <v>108</v>
      </c>
      <c r="D115" s="53" t="s">
        <v>174</v>
      </c>
      <c r="E115" s="54">
        <v>1991</v>
      </c>
      <c r="F115" s="54">
        <v>2013</v>
      </c>
      <c r="G115" s="54" t="s">
        <v>64</v>
      </c>
      <c r="H115" s="54">
        <v>5</v>
      </c>
      <c r="I115" s="54">
        <v>6</v>
      </c>
      <c r="J115" s="55">
        <v>7178.4</v>
      </c>
      <c r="K115" s="55">
        <v>6274.92</v>
      </c>
      <c r="L115" s="55">
        <v>0</v>
      </c>
      <c r="M115" s="56">
        <v>326</v>
      </c>
      <c r="N115" s="62">
        <v>24274955.7714989</v>
      </c>
      <c r="O115" s="55"/>
      <c r="P115" s="63"/>
      <c r="Q115" s="63"/>
      <c r="R115" s="63">
        <v>3540174.47</v>
      </c>
      <c r="S115" s="63">
        <v>20734781.301498901</v>
      </c>
      <c r="T115" s="55">
        <v>0</v>
      </c>
      <c r="U115" s="63">
        <v>3868.56816843862</v>
      </c>
      <c r="V115" s="63">
        <v>3868.56816843862</v>
      </c>
      <c r="W115" s="59">
        <v>2022</v>
      </c>
      <c r="X115" s="6" t="e">
        <v>#REF!</v>
      </c>
      <c r="Z115" s="62">
        <f t="shared" si="36"/>
        <v>114739882.33999993</v>
      </c>
      <c r="AA115" s="55">
        <v>10506859.781467101</v>
      </c>
      <c r="AB115" s="55">
        <v>6076404.2463314403</v>
      </c>
      <c r="AC115" s="55">
        <v>6423209.20185294</v>
      </c>
      <c r="AD115" s="55">
        <v>4897751.6187222004</v>
      </c>
      <c r="AE115" s="55">
        <v>1956551.5156395601</v>
      </c>
      <c r="AF115" s="55"/>
      <c r="AG115" s="55">
        <v>522083.09510699997</v>
      </c>
      <c r="AH115" s="55">
        <v>0</v>
      </c>
      <c r="AI115" s="55">
        <v>18703810.111480199</v>
      </c>
      <c r="AJ115" s="55">
        <v>0</v>
      </c>
      <c r="AK115" s="55">
        <v>36313553.4282998</v>
      </c>
      <c r="AL115" s="55">
        <v>14281654.8168945</v>
      </c>
      <c r="AM115" s="55">
        <v>11730764.922900001</v>
      </c>
      <c r="AN115" s="63">
        <v>1147398.8234000001</v>
      </c>
      <c r="AO115" s="64">
        <v>2179840.7779051801</v>
      </c>
      <c r="AP115" s="61">
        <f>+N115-'Приложение №2'!E115</f>
        <v>4.0978193283081055E-8</v>
      </c>
      <c r="AQ115" s="1">
        <v>2900132.63</v>
      </c>
      <c r="AR115" s="3">
        <f t="shared" si="39"/>
        <v>640041.83999999985</v>
      </c>
      <c r="AS115" s="3">
        <f t="shared" si="40"/>
        <v>22589711.999999996</v>
      </c>
      <c r="AT115" s="6">
        <f t="shared" si="35"/>
        <v>-1854930.6985010952</v>
      </c>
      <c r="AW115" s="62">
        <f t="shared" si="41"/>
        <v>24274955.771498859</v>
      </c>
      <c r="AX115" s="55"/>
      <c r="AY115" s="55"/>
      <c r="AZ115" s="55"/>
      <c r="BA115" s="55"/>
      <c r="BB115" s="55"/>
      <c r="BC115" s="55"/>
      <c r="BD115" s="55"/>
      <c r="BE115" s="55"/>
      <c r="BF115" s="55"/>
      <c r="BG115" s="55">
        <v>0</v>
      </c>
      <c r="BH115" s="55">
        <v>22920438.079999998</v>
      </c>
      <c r="BI115" s="55"/>
      <c r="BJ115" s="55">
        <v>237586.77</v>
      </c>
      <c r="BK115" s="63"/>
      <c r="BL115" s="64">
        <v>1116930.92149886</v>
      </c>
      <c r="BM115" s="8">
        <f t="shared" si="42"/>
        <v>24274955.771498859</v>
      </c>
      <c r="BN115" s="55"/>
      <c r="BO115" s="55"/>
      <c r="BP115" s="71"/>
      <c r="BQ115" s="55"/>
      <c r="BR115" s="55"/>
      <c r="BS115" s="55"/>
      <c r="BT115" s="55"/>
      <c r="BU115" s="55"/>
      <c r="BV115" s="55"/>
      <c r="BW115" s="55">
        <v>0</v>
      </c>
      <c r="BX115" s="55">
        <v>22920438.079999998</v>
      </c>
      <c r="BY115" s="55"/>
      <c r="BZ115" s="55">
        <v>237586.77</v>
      </c>
      <c r="CA115" s="63"/>
      <c r="CB115" s="64">
        <v>1116930.92149886</v>
      </c>
    </row>
    <row r="116" spans="1:80" x14ac:dyDescent="0.25">
      <c r="A116" s="52">
        <f t="shared" si="43"/>
        <v>99</v>
      </c>
      <c r="B116" s="53">
        <f t="shared" si="44"/>
        <v>99</v>
      </c>
      <c r="C116" s="53" t="s">
        <v>108</v>
      </c>
      <c r="D116" s="53" t="s">
        <v>175</v>
      </c>
      <c r="E116" s="54">
        <v>1988</v>
      </c>
      <c r="F116" s="54">
        <v>2013</v>
      </c>
      <c r="G116" s="54" t="s">
        <v>64</v>
      </c>
      <c r="H116" s="54">
        <v>5</v>
      </c>
      <c r="I116" s="54">
        <v>6</v>
      </c>
      <c r="J116" s="55">
        <v>7060</v>
      </c>
      <c r="K116" s="55">
        <v>6080.7</v>
      </c>
      <c r="L116" s="55">
        <v>143.1</v>
      </c>
      <c r="M116" s="56">
        <v>261</v>
      </c>
      <c r="N116" s="62">
        <v>24384542.3305985</v>
      </c>
      <c r="O116" s="55"/>
      <c r="P116" s="63"/>
      <c r="Q116" s="63"/>
      <c r="R116" s="63">
        <v>3405808.57</v>
      </c>
      <c r="S116" s="63">
        <v>20978733.760598499</v>
      </c>
      <c r="T116" s="55">
        <v>0</v>
      </c>
      <c r="U116" s="63">
        <v>3917.95082274471</v>
      </c>
      <c r="V116" s="63">
        <v>3917.95082274471</v>
      </c>
      <c r="W116" s="59">
        <v>2022</v>
      </c>
      <c r="X116" s="6" t="e">
        <v>#REF!</v>
      </c>
      <c r="Z116" s="62">
        <f t="shared" si="36"/>
        <v>113728034.62000006</v>
      </c>
      <c r="AA116" s="55">
        <v>10414203.748155501</v>
      </c>
      <c r="AB116" s="55">
        <v>6022818.7318051197</v>
      </c>
      <c r="AC116" s="55">
        <v>6366565.34106516</v>
      </c>
      <c r="AD116" s="55">
        <v>4854560.1966455998</v>
      </c>
      <c r="AE116" s="55">
        <v>1939297.42329372</v>
      </c>
      <c r="AF116" s="55"/>
      <c r="AG116" s="55">
        <v>517479.04143600003</v>
      </c>
      <c r="AH116" s="55">
        <v>0</v>
      </c>
      <c r="AI116" s="55">
        <v>18538868.268522002</v>
      </c>
      <c r="AJ116" s="55">
        <v>0</v>
      </c>
      <c r="AK116" s="55">
        <v>35993317.908726402</v>
      </c>
      <c r="AL116" s="55">
        <v>14155710.295986</v>
      </c>
      <c r="AM116" s="55">
        <v>11627315.7334</v>
      </c>
      <c r="AN116" s="63">
        <v>1137280.3462</v>
      </c>
      <c r="AO116" s="64">
        <v>2160617.5847645602</v>
      </c>
      <c r="AP116" s="61">
        <f>+N116-'Приложение №2'!E116</f>
        <v>0</v>
      </c>
      <c r="AQ116" s="1">
        <v>2756384.77</v>
      </c>
      <c r="AR116" s="3">
        <f t="shared" si="39"/>
        <v>649423.79999999993</v>
      </c>
      <c r="AS116" s="3">
        <f t="shared" si="40"/>
        <v>22920840</v>
      </c>
      <c r="AT116" s="6">
        <f t="shared" si="35"/>
        <v>-1942106.2394015007</v>
      </c>
      <c r="AW116" s="62">
        <f t="shared" si="41"/>
        <v>24384542.330598522</v>
      </c>
      <c r="AX116" s="55"/>
      <c r="AY116" s="55"/>
      <c r="AZ116" s="55"/>
      <c r="BA116" s="55"/>
      <c r="BB116" s="55"/>
      <c r="BC116" s="55"/>
      <c r="BD116" s="55"/>
      <c r="BE116" s="55"/>
      <c r="BF116" s="55"/>
      <c r="BG116" s="55">
        <v>0</v>
      </c>
      <c r="BH116" s="55">
        <v>23040371.91</v>
      </c>
      <c r="BI116" s="55"/>
      <c r="BJ116" s="55">
        <v>237124.23</v>
      </c>
      <c r="BK116" s="63"/>
      <c r="BL116" s="64">
        <v>1107046.19059852</v>
      </c>
      <c r="BM116" s="8">
        <f t="shared" si="42"/>
        <v>24384542.330598522</v>
      </c>
      <c r="BN116" s="55"/>
      <c r="BO116" s="55"/>
      <c r="BP116" s="71"/>
      <c r="BQ116" s="55"/>
      <c r="BR116" s="55"/>
      <c r="BS116" s="55"/>
      <c r="BT116" s="55"/>
      <c r="BU116" s="55"/>
      <c r="BV116" s="55"/>
      <c r="BW116" s="55">
        <v>0</v>
      </c>
      <c r="BX116" s="55">
        <v>23040371.91</v>
      </c>
      <c r="BY116" s="55"/>
      <c r="BZ116" s="55">
        <v>237124.23</v>
      </c>
      <c r="CA116" s="63"/>
      <c r="CB116" s="64">
        <v>1107046.19059852</v>
      </c>
    </row>
    <row r="117" spans="1:80" x14ac:dyDescent="0.25">
      <c r="A117" s="52">
        <f t="shared" si="43"/>
        <v>100</v>
      </c>
      <c r="B117" s="53">
        <f t="shared" si="44"/>
        <v>100</v>
      </c>
      <c r="C117" s="53" t="s">
        <v>108</v>
      </c>
      <c r="D117" s="53" t="s">
        <v>176</v>
      </c>
      <c r="E117" s="54">
        <v>1975</v>
      </c>
      <c r="F117" s="54">
        <v>2013</v>
      </c>
      <c r="G117" s="54" t="s">
        <v>64</v>
      </c>
      <c r="H117" s="54">
        <v>4</v>
      </c>
      <c r="I117" s="54">
        <v>4</v>
      </c>
      <c r="J117" s="55">
        <v>2912.6</v>
      </c>
      <c r="K117" s="55">
        <v>2004.3</v>
      </c>
      <c r="L117" s="55">
        <v>902.2</v>
      </c>
      <c r="M117" s="56">
        <v>104</v>
      </c>
      <c r="N117" s="62">
        <v>1151789.16863376</v>
      </c>
      <c r="O117" s="55"/>
      <c r="P117" s="63"/>
      <c r="Q117" s="63"/>
      <c r="R117" s="63">
        <v>1151789.16863376</v>
      </c>
      <c r="S117" s="63"/>
      <c r="T117" s="55">
        <v>0</v>
      </c>
      <c r="U117" s="63">
        <v>396.28046400610901</v>
      </c>
      <c r="V117" s="63">
        <v>396.28046400610901</v>
      </c>
      <c r="W117" s="59">
        <v>2022</v>
      </c>
      <c r="X117" s="6" t="e">
        <v>#REF!</v>
      </c>
      <c r="Z117" s="62">
        <f t="shared" si="36"/>
        <v>33480583.039703999</v>
      </c>
      <c r="AA117" s="55">
        <v>4910426.6191344</v>
      </c>
      <c r="AB117" s="55">
        <v>1749786.8763320399</v>
      </c>
      <c r="AC117" s="55">
        <v>1828137.9504292801</v>
      </c>
      <c r="AD117" s="55">
        <v>1144529.9445770399</v>
      </c>
      <c r="AE117" s="55">
        <v>818458.35</v>
      </c>
      <c r="AF117" s="55"/>
      <c r="AG117" s="55">
        <v>188426.5127934</v>
      </c>
      <c r="AH117" s="55">
        <v>0</v>
      </c>
      <c r="AI117" s="55">
        <v>8977006.9994345997</v>
      </c>
      <c r="AJ117" s="55">
        <v>0</v>
      </c>
      <c r="AK117" s="55">
        <v>4660903.59852558</v>
      </c>
      <c r="AL117" s="55">
        <v>5027330.1025222801</v>
      </c>
      <c r="AM117" s="55">
        <v>3221989.0268000001</v>
      </c>
      <c r="AN117" s="63">
        <v>327170.53649999999</v>
      </c>
      <c r="AO117" s="64">
        <v>626416.52265537996</v>
      </c>
      <c r="AP117" s="61">
        <f>+N117-'Приложение №2'!E117</f>
        <v>3.9581209421157837E-9</v>
      </c>
      <c r="AQ117" s="1">
        <v>1936703.42</v>
      </c>
      <c r="AR117" s="3">
        <f t="shared" si="39"/>
        <v>388487.39999999997</v>
      </c>
      <c r="AS117" s="3">
        <f t="shared" si="40"/>
        <v>13711320</v>
      </c>
      <c r="AT117" s="6">
        <f t="shared" si="35"/>
        <v>-13711320</v>
      </c>
      <c r="AW117" s="62">
        <f t="shared" si="41"/>
        <v>1151789.168633756</v>
      </c>
      <c r="AX117" s="55"/>
      <c r="AY117" s="55"/>
      <c r="AZ117" s="55">
        <v>655531.02</v>
      </c>
      <c r="BA117" s="55"/>
      <c r="BB117" s="55"/>
      <c r="BC117" s="55"/>
      <c r="BD117" s="55"/>
      <c r="BE117" s="55"/>
      <c r="BF117" s="55"/>
      <c r="BG117" s="55"/>
      <c r="BH117" s="55"/>
      <c r="BJ117" s="55"/>
      <c r="BK117" s="63"/>
      <c r="BL117" s="64">
        <v>496258.14863375598</v>
      </c>
      <c r="BM117" s="8">
        <f t="shared" si="42"/>
        <v>1151789.168633756</v>
      </c>
      <c r="BN117" s="55"/>
      <c r="BO117" s="55"/>
      <c r="BP117" s="71">
        <v>655531.02</v>
      </c>
      <c r="BQ117" s="55"/>
      <c r="BR117" s="55"/>
      <c r="BS117" s="55"/>
      <c r="BT117" s="55"/>
      <c r="BU117" s="55"/>
      <c r="BV117" s="55"/>
      <c r="BW117" s="55"/>
      <c r="BX117" s="55"/>
      <c r="BZ117" s="55"/>
      <c r="CA117" s="63"/>
      <c r="CB117" s="64">
        <v>496258.14863375598</v>
      </c>
    </row>
    <row r="118" spans="1:80" x14ac:dyDescent="0.25">
      <c r="A118" s="52">
        <f t="shared" si="43"/>
        <v>101</v>
      </c>
      <c r="B118" s="53">
        <f t="shared" si="44"/>
        <v>101</v>
      </c>
      <c r="C118" s="53" t="s">
        <v>108</v>
      </c>
      <c r="D118" s="53" t="s">
        <v>177</v>
      </c>
      <c r="E118" s="54">
        <v>1993</v>
      </c>
      <c r="F118" s="54">
        <v>2013</v>
      </c>
      <c r="G118" s="54" t="s">
        <v>64</v>
      </c>
      <c r="H118" s="54">
        <v>5</v>
      </c>
      <c r="I118" s="54">
        <v>2</v>
      </c>
      <c r="J118" s="55">
        <v>2382.6999999999998</v>
      </c>
      <c r="K118" s="55">
        <v>2177.75</v>
      </c>
      <c r="L118" s="55">
        <v>0</v>
      </c>
      <c r="M118" s="56">
        <v>103</v>
      </c>
      <c r="N118" s="62">
        <v>8825748.4216626994</v>
      </c>
      <c r="O118" s="55"/>
      <c r="P118" s="63">
        <v>376305.81</v>
      </c>
      <c r="Q118" s="63"/>
      <c r="R118" s="63">
        <v>751589.24</v>
      </c>
      <c r="S118" s="63">
        <v>7697853.3716626996</v>
      </c>
      <c r="T118" s="55">
        <v>0</v>
      </c>
      <c r="U118" s="63">
        <v>4052.6912738664701</v>
      </c>
      <c r="V118" s="63">
        <v>4052.6912738664701</v>
      </c>
      <c r="W118" s="59">
        <v>2022</v>
      </c>
      <c r="X118" s="6" t="e">
        <v>#REF!</v>
      </c>
      <c r="Z118" s="62">
        <f t="shared" si="36"/>
        <v>22932892.859999999</v>
      </c>
      <c r="AA118" s="55">
        <v>5269271.9163684603</v>
      </c>
      <c r="AB118" s="55">
        <v>1877658.2087747401</v>
      </c>
      <c r="AC118" s="55">
        <v>1961735.03898246</v>
      </c>
      <c r="AD118" s="55">
        <v>1228170.17043756</v>
      </c>
      <c r="AE118" s="55"/>
      <c r="AF118" s="55"/>
      <c r="AG118" s="55">
        <v>202196.39026188001</v>
      </c>
      <c r="AH118" s="55">
        <v>0</v>
      </c>
      <c r="AI118" s="55">
        <v>9633030.8035122007</v>
      </c>
      <c r="AJ118" s="55">
        <v>0</v>
      </c>
      <c r="AK118" s="55">
        <v>0</v>
      </c>
      <c r="AL118" s="55">
        <v>0</v>
      </c>
      <c r="AM118" s="55">
        <v>2090379.2509000001</v>
      </c>
      <c r="AN118" s="63">
        <v>229328.92860000001</v>
      </c>
      <c r="AO118" s="64">
        <v>441122.15216270002</v>
      </c>
      <c r="AP118" s="61">
        <f>+N118-'Приложение №2'!E118</f>
        <v>0</v>
      </c>
      <c r="AQ118" s="1">
        <v>1043569.01</v>
      </c>
      <c r="AR118" s="3">
        <f t="shared" si="39"/>
        <v>222130.5</v>
      </c>
      <c r="AS118" s="3">
        <f t="shared" si="40"/>
        <v>7839900</v>
      </c>
      <c r="AT118" s="6">
        <f t="shared" si="35"/>
        <v>-142046.62833730038</v>
      </c>
      <c r="AW118" s="62">
        <f t="shared" si="41"/>
        <v>8825748.4216627013</v>
      </c>
      <c r="AX118" s="55"/>
      <c r="AY118" s="55">
        <v>1337737.05</v>
      </c>
      <c r="AZ118" s="55">
        <v>613148.77</v>
      </c>
      <c r="BA118" s="55">
        <v>943239.55</v>
      </c>
      <c r="BB118" s="55"/>
      <c r="BC118" s="55"/>
      <c r="BD118" s="55"/>
      <c r="BE118" s="55">
        <v>0</v>
      </c>
      <c r="BF118" s="55">
        <v>3170792.72</v>
      </c>
      <c r="BG118" s="55">
        <v>0</v>
      </c>
      <c r="BH118" s="55">
        <v>0</v>
      </c>
      <c r="BI118" s="55">
        <v>0</v>
      </c>
      <c r="BJ118" s="55">
        <v>2090379.2509000001</v>
      </c>
      <c r="BK118" s="63">
        <v>229328.92860000001</v>
      </c>
      <c r="BL118" s="64">
        <v>441122.15216270002</v>
      </c>
      <c r="BM118" s="8">
        <f t="shared" si="42"/>
        <v>8825748.4216627013</v>
      </c>
      <c r="BN118" s="55"/>
      <c r="BO118" s="55">
        <v>1337737.05</v>
      </c>
      <c r="BP118" s="71">
        <v>613148.77</v>
      </c>
      <c r="BQ118" s="55">
        <v>943239.55</v>
      </c>
      <c r="BR118" s="55"/>
      <c r="BS118" s="55"/>
      <c r="BT118" s="55"/>
      <c r="BU118" s="55">
        <v>0</v>
      </c>
      <c r="BV118" s="55">
        <v>3170792.72</v>
      </c>
      <c r="BW118" s="55">
        <v>0</v>
      </c>
      <c r="BX118" s="55">
        <v>0</v>
      </c>
      <c r="BY118" s="55">
        <v>0</v>
      </c>
      <c r="BZ118" s="55">
        <v>2090379.2509000001</v>
      </c>
      <c r="CA118" s="63">
        <v>229328.92860000001</v>
      </c>
      <c r="CB118" s="64">
        <v>441122.15216270002</v>
      </c>
    </row>
    <row r="119" spans="1:80" x14ac:dyDescent="0.25">
      <c r="A119" s="52">
        <f t="shared" si="43"/>
        <v>102</v>
      </c>
      <c r="B119" s="53">
        <f t="shared" si="44"/>
        <v>102</v>
      </c>
      <c r="C119" s="53" t="s">
        <v>108</v>
      </c>
      <c r="D119" s="53" t="s">
        <v>178</v>
      </c>
      <c r="E119" s="54">
        <v>1966</v>
      </c>
      <c r="F119" s="54">
        <v>2013</v>
      </c>
      <c r="G119" s="54" t="s">
        <v>64</v>
      </c>
      <c r="H119" s="54">
        <v>4</v>
      </c>
      <c r="I119" s="54">
        <v>6</v>
      </c>
      <c r="J119" s="55">
        <v>2829.5</v>
      </c>
      <c r="K119" s="55">
        <v>2537.8000000000002</v>
      </c>
      <c r="L119" s="55">
        <v>230.6</v>
      </c>
      <c r="M119" s="56">
        <v>144</v>
      </c>
      <c r="N119" s="62">
        <v>3582145.82</v>
      </c>
      <c r="O119" s="55"/>
      <c r="P119" s="63"/>
      <c r="Q119" s="63"/>
      <c r="R119" s="63">
        <v>1506343.88</v>
      </c>
      <c r="S119" s="63">
        <v>2075801.94</v>
      </c>
      <c r="T119" s="55">
        <v>0</v>
      </c>
      <c r="U119" s="63">
        <v>1293.9408394740601</v>
      </c>
      <c r="V119" s="63">
        <v>1293.9408394740601</v>
      </c>
      <c r="W119" s="59">
        <v>2022</v>
      </c>
      <c r="X119" s="6" t="e">
        <v>#REF!</v>
      </c>
      <c r="Z119" s="62">
        <f t="shared" si="36"/>
        <v>15087934.029999997</v>
      </c>
      <c r="AA119" s="55">
        <v>6065034.6402882598</v>
      </c>
      <c r="AB119" s="55">
        <v>2161221.1824524999</v>
      </c>
      <c r="AC119" s="55">
        <v>2257995.2503873799</v>
      </c>
      <c r="AD119" s="55">
        <v>1413647.7960217199</v>
      </c>
      <c r="AE119" s="55">
        <v>864921.32273358002</v>
      </c>
      <c r="AF119" s="55"/>
      <c r="AG119" s="55">
        <v>232731.98563608</v>
      </c>
      <c r="AH119" s="55">
        <v>0</v>
      </c>
      <c r="AI119" s="55">
        <v>0</v>
      </c>
      <c r="AJ119" s="55">
        <v>0</v>
      </c>
      <c r="AK119" s="55">
        <v>0</v>
      </c>
      <c r="AL119" s="55">
        <v>0</v>
      </c>
      <c r="AM119" s="55">
        <v>1657316.1065</v>
      </c>
      <c r="AN119" s="63">
        <v>150879.34030000001</v>
      </c>
      <c r="AO119" s="64">
        <v>284186.40568048001</v>
      </c>
      <c r="AP119" s="61">
        <f>+N119-'Приложение №2'!E119</f>
        <v>0</v>
      </c>
      <c r="AQ119" s="1">
        <v>1303433.04</v>
      </c>
      <c r="AR119" s="3">
        <f t="shared" si="39"/>
        <v>305898</v>
      </c>
      <c r="AS119" s="3">
        <f t="shared" si="40"/>
        <v>10796400</v>
      </c>
      <c r="AT119" s="6">
        <f t="shared" ref="AT119:AT150" si="45">+S119-AS119</f>
        <v>-8720598.0600000005</v>
      </c>
      <c r="AW119" s="62">
        <f t="shared" si="41"/>
        <v>3582145.82</v>
      </c>
      <c r="AX119" s="55">
        <v>2763321.73</v>
      </c>
      <c r="AY119" s="55"/>
      <c r="AZ119" s="55"/>
      <c r="BA119" s="55"/>
      <c r="BB119" s="55"/>
      <c r="BC119" s="55">
        <v>0</v>
      </c>
      <c r="BD119" s="55"/>
      <c r="BE119" s="55">
        <v>0</v>
      </c>
      <c r="BF119" s="55">
        <v>0</v>
      </c>
      <c r="BG119" s="55">
        <v>0</v>
      </c>
      <c r="BH119" s="55">
        <v>0</v>
      </c>
      <c r="BI119" s="55">
        <v>0</v>
      </c>
      <c r="BJ119" s="55">
        <v>788750.73</v>
      </c>
      <c r="BK119" s="63"/>
      <c r="BL119" s="64">
        <v>30073.360000000001</v>
      </c>
      <c r="BM119" s="8">
        <f t="shared" si="42"/>
        <v>3582145.82</v>
      </c>
      <c r="BN119" s="55">
        <v>2763321.73</v>
      </c>
      <c r="BO119" s="55"/>
      <c r="BP119" s="71"/>
      <c r="BQ119" s="55"/>
      <c r="BR119" s="55"/>
      <c r="BS119" s="55">
        <v>0</v>
      </c>
      <c r="BT119" s="55"/>
      <c r="BU119" s="55">
        <v>0</v>
      </c>
      <c r="BV119" s="55">
        <v>0</v>
      </c>
      <c r="BW119" s="55">
        <v>0</v>
      </c>
      <c r="BX119" s="55">
        <v>0</v>
      </c>
      <c r="BY119" s="55">
        <v>0</v>
      </c>
      <c r="BZ119" s="55">
        <v>788750.73</v>
      </c>
      <c r="CA119" s="63"/>
      <c r="CB119" s="64">
        <v>30073.360000000001</v>
      </c>
    </row>
    <row r="120" spans="1:80" x14ac:dyDescent="0.25">
      <c r="A120" s="52">
        <f t="shared" si="43"/>
        <v>103</v>
      </c>
      <c r="B120" s="53">
        <f t="shared" si="44"/>
        <v>103</v>
      </c>
      <c r="C120" s="53" t="s">
        <v>108</v>
      </c>
      <c r="D120" s="53" t="s">
        <v>179</v>
      </c>
      <c r="E120" s="54">
        <v>1973</v>
      </c>
      <c r="F120" s="54">
        <v>2013</v>
      </c>
      <c r="G120" s="54" t="s">
        <v>64</v>
      </c>
      <c r="H120" s="54">
        <v>5</v>
      </c>
      <c r="I120" s="54">
        <v>4</v>
      </c>
      <c r="J120" s="55">
        <v>3187.3</v>
      </c>
      <c r="K120" s="55">
        <v>2508.4</v>
      </c>
      <c r="L120" s="55">
        <v>678.9</v>
      </c>
      <c r="M120" s="56">
        <v>119</v>
      </c>
      <c r="N120" s="62">
        <v>1013056.97</v>
      </c>
      <c r="O120" s="55"/>
      <c r="P120" s="63"/>
      <c r="Q120" s="63"/>
      <c r="R120" s="63">
        <v>1013056.97</v>
      </c>
      <c r="S120" s="63">
        <v>0</v>
      </c>
      <c r="T120" s="55">
        <v>0</v>
      </c>
      <c r="U120" s="63">
        <v>317.84173752078601</v>
      </c>
      <c r="V120" s="63">
        <v>317.84173752078601</v>
      </c>
      <c r="W120" s="59">
        <v>2022</v>
      </c>
      <c r="X120" s="6" t="e">
        <v>#REF!</v>
      </c>
      <c r="Z120" s="62">
        <f t="shared" si="36"/>
        <v>1264729.77</v>
      </c>
      <c r="AA120" s="55">
        <v>0</v>
      </c>
      <c r="AB120" s="55">
        <v>0</v>
      </c>
      <c r="AC120" s="55">
        <v>0</v>
      </c>
      <c r="AD120" s="55">
        <v>0</v>
      </c>
      <c r="AE120" s="55">
        <v>1007223.29</v>
      </c>
      <c r="AF120" s="55"/>
      <c r="AG120" s="55">
        <v>0</v>
      </c>
      <c r="AH120" s="55">
        <v>0</v>
      </c>
      <c r="AI120" s="55">
        <v>0</v>
      </c>
      <c r="AJ120" s="55">
        <v>0</v>
      </c>
      <c r="AK120" s="55">
        <v>0</v>
      </c>
      <c r="AL120" s="55">
        <v>0</v>
      </c>
      <c r="AM120" s="55">
        <v>241672.8</v>
      </c>
      <c r="AN120" s="63">
        <v>10000</v>
      </c>
      <c r="AO120" s="64">
        <v>5833.68</v>
      </c>
      <c r="AP120" s="61">
        <f>+N120-'Приложение №2'!E120</f>
        <v>0</v>
      </c>
      <c r="AQ120" s="1">
        <v>1840438.6</v>
      </c>
      <c r="AR120" s="3">
        <f t="shared" si="39"/>
        <v>394352.39999999997</v>
      </c>
      <c r="AS120" s="3">
        <f t="shared" si="40"/>
        <v>13918320</v>
      </c>
      <c r="AT120" s="6">
        <f t="shared" si="45"/>
        <v>-13918320</v>
      </c>
      <c r="AW120" s="62">
        <f t="shared" si="41"/>
        <v>1013056.9700000001</v>
      </c>
      <c r="AX120" s="55">
        <v>0</v>
      </c>
      <c r="AY120" s="55">
        <v>0</v>
      </c>
      <c r="AZ120" s="55">
        <v>0</v>
      </c>
      <c r="BA120" s="55">
        <v>0</v>
      </c>
      <c r="BB120" s="55">
        <v>1007223.29</v>
      </c>
      <c r="BC120" s="55"/>
      <c r="BD120" s="55"/>
      <c r="BE120" s="55">
        <v>0</v>
      </c>
      <c r="BF120" s="55">
        <v>0</v>
      </c>
      <c r="BG120" s="55">
        <v>0</v>
      </c>
      <c r="BH120" s="55">
        <v>0</v>
      </c>
      <c r="BI120" s="55">
        <v>0</v>
      </c>
      <c r="BJ120" s="55"/>
      <c r="BK120" s="63"/>
      <c r="BL120" s="64">
        <v>5833.68</v>
      </c>
      <c r="BM120" s="8">
        <f t="shared" si="42"/>
        <v>1013056.9700000001</v>
      </c>
      <c r="BN120" s="55">
        <v>0</v>
      </c>
      <c r="BO120" s="55">
        <v>0</v>
      </c>
      <c r="BP120" s="71">
        <v>0</v>
      </c>
      <c r="BQ120" s="55">
        <v>0</v>
      </c>
      <c r="BR120" s="55">
        <v>1007223.29</v>
      </c>
      <c r="BS120" s="55"/>
      <c r="BT120" s="55"/>
      <c r="BU120" s="55">
        <v>0</v>
      </c>
      <c r="BV120" s="55">
        <v>0</v>
      </c>
      <c r="BW120" s="55">
        <v>0</v>
      </c>
      <c r="BX120" s="55">
        <v>0</v>
      </c>
      <c r="BY120" s="55">
        <v>0</v>
      </c>
      <c r="BZ120" s="55"/>
      <c r="CA120" s="63"/>
      <c r="CB120" s="64">
        <v>5833.68</v>
      </c>
    </row>
    <row r="121" spans="1:80" x14ac:dyDescent="0.25">
      <c r="A121" s="52">
        <f t="shared" si="43"/>
        <v>104</v>
      </c>
      <c r="B121" s="53">
        <f t="shared" si="44"/>
        <v>104</v>
      </c>
      <c r="C121" s="53" t="s">
        <v>108</v>
      </c>
      <c r="D121" s="53" t="s">
        <v>180</v>
      </c>
      <c r="E121" s="54">
        <v>1995</v>
      </c>
      <c r="F121" s="54">
        <v>2013</v>
      </c>
      <c r="G121" s="54" t="s">
        <v>64</v>
      </c>
      <c r="H121" s="54">
        <v>5</v>
      </c>
      <c r="I121" s="54">
        <v>2</v>
      </c>
      <c r="J121" s="55">
        <v>2325.6999999999998</v>
      </c>
      <c r="K121" s="55">
        <v>1861.6</v>
      </c>
      <c r="L121" s="55">
        <v>0</v>
      </c>
      <c r="M121" s="56">
        <v>45</v>
      </c>
      <c r="N121" s="62">
        <v>12649312.8709078</v>
      </c>
      <c r="O121" s="55"/>
      <c r="P121" s="63">
        <v>3166309.31</v>
      </c>
      <c r="Q121" s="63"/>
      <c r="R121" s="63">
        <v>801099.03</v>
      </c>
      <c r="S121" s="63">
        <v>6701760</v>
      </c>
      <c r="T121" s="55">
        <v>1980144.53090784</v>
      </c>
      <c r="U121" s="63">
        <v>6794.8608030231198</v>
      </c>
      <c r="V121" s="63">
        <v>6794.8608030231198</v>
      </c>
      <c r="W121" s="59">
        <v>2022</v>
      </c>
      <c r="X121" s="6" t="e">
        <v>#REF!</v>
      </c>
      <c r="Z121" s="62">
        <f t="shared" si="36"/>
        <v>24619973.59</v>
      </c>
      <c r="AA121" s="55">
        <v>4453931.4770332202</v>
      </c>
      <c r="AB121" s="55">
        <v>1587118.89355698</v>
      </c>
      <c r="AC121" s="55">
        <v>1658186.10096636</v>
      </c>
      <c r="AD121" s="55">
        <v>1038129.3440137201</v>
      </c>
      <c r="AE121" s="55">
        <v>0</v>
      </c>
      <c r="AF121" s="55"/>
      <c r="AG121" s="55">
        <v>170909.54989416001</v>
      </c>
      <c r="AH121" s="55">
        <v>0</v>
      </c>
      <c r="AI121" s="55">
        <v>8142464.4194250004</v>
      </c>
      <c r="AJ121" s="55">
        <v>0</v>
      </c>
      <c r="AK121" s="55">
        <v>0</v>
      </c>
      <c r="AL121" s="55">
        <v>4559967.0846529799</v>
      </c>
      <c r="AM121" s="55">
        <v>2290484.5943999998</v>
      </c>
      <c r="AN121" s="63">
        <v>246199.7359</v>
      </c>
      <c r="AO121" s="64">
        <v>472582.39015758003</v>
      </c>
      <c r="AP121" s="61">
        <f>+N121-'Приложение №2'!E121</f>
        <v>-3.9115548133850098E-8</v>
      </c>
      <c r="AQ121" s="1">
        <v>717879.06</v>
      </c>
      <c r="AR121" s="3">
        <f t="shared" si="39"/>
        <v>189883.19999999998</v>
      </c>
      <c r="AS121" s="3">
        <f t="shared" si="40"/>
        <v>6701760</v>
      </c>
      <c r="AT121" s="6">
        <f t="shared" si="45"/>
        <v>0</v>
      </c>
      <c r="AW121" s="62">
        <f t="shared" si="41"/>
        <v>12649312.870907839</v>
      </c>
      <c r="AX121" s="55">
        <v>3644506.14</v>
      </c>
      <c r="AY121" s="55"/>
      <c r="AZ121" s="55">
        <v>914465.47</v>
      </c>
      <c r="BA121" s="55"/>
      <c r="BB121" s="55">
        <v>0</v>
      </c>
      <c r="BC121" s="55"/>
      <c r="BD121" s="55"/>
      <c r="BE121" s="55">
        <v>0</v>
      </c>
      <c r="BF121" s="55">
        <v>3794408.23</v>
      </c>
      <c r="BG121" s="55">
        <v>0</v>
      </c>
      <c r="BH121" s="55">
        <v>0</v>
      </c>
      <c r="BI121" s="55">
        <v>3615223.51</v>
      </c>
      <c r="BJ121" s="55">
        <v>160007.0122</v>
      </c>
      <c r="BK121" s="63">
        <v>37048.782200000001</v>
      </c>
      <c r="BL121" s="64">
        <v>483653.72650783998</v>
      </c>
      <c r="BM121" s="8">
        <f t="shared" si="42"/>
        <v>12649312.870907839</v>
      </c>
      <c r="BN121" s="55">
        <v>3644506.14</v>
      </c>
      <c r="BO121" s="55"/>
      <c r="BP121" s="71">
        <v>914465.47</v>
      </c>
      <c r="BQ121" s="55"/>
      <c r="BR121" s="55">
        <v>0</v>
      </c>
      <c r="BS121" s="55"/>
      <c r="BT121" s="55"/>
      <c r="BU121" s="55">
        <v>0</v>
      </c>
      <c r="BV121" s="55">
        <v>3794408.23</v>
      </c>
      <c r="BW121" s="55">
        <v>0</v>
      </c>
      <c r="BX121" s="55">
        <v>0</v>
      </c>
      <c r="BY121" s="55">
        <v>3615223.51</v>
      </c>
      <c r="BZ121" s="55">
        <v>160007.0122</v>
      </c>
      <c r="CA121" s="63">
        <v>37048.782200000001</v>
      </c>
      <c r="CB121" s="64">
        <v>483653.72650783998</v>
      </c>
    </row>
    <row r="122" spans="1:80" s="69" customFormat="1" x14ac:dyDescent="0.25">
      <c r="A122" s="52">
        <f t="shared" si="43"/>
        <v>105</v>
      </c>
      <c r="B122" s="53">
        <f t="shared" si="44"/>
        <v>105</v>
      </c>
      <c r="C122" s="53" t="s">
        <v>181</v>
      </c>
      <c r="D122" s="53" t="s">
        <v>182</v>
      </c>
      <c r="E122" s="54" t="s">
        <v>183</v>
      </c>
      <c r="F122" s="54"/>
      <c r="G122" s="54" t="s">
        <v>64</v>
      </c>
      <c r="H122" s="54" t="s">
        <v>184</v>
      </c>
      <c r="I122" s="54" t="s">
        <v>185</v>
      </c>
      <c r="J122" s="55">
        <v>5677.5</v>
      </c>
      <c r="K122" s="55">
        <v>4896.3999999999996</v>
      </c>
      <c r="L122" s="55">
        <v>72</v>
      </c>
      <c r="M122" s="56">
        <v>216</v>
      </c>
      <c r="N122" s="62">
        <v>56109594.188878097</v>
      </c>
      <c r="O122" s="55">
        <v>0</v>
      </c>
      <c r="P122" s="63">
        <v>13939244.220000001</v>
      </c>
      <c r="Q122" s="63">
        <v>0</v>
      </c>
      <c r="R122" s="63">
        <v>2546224.96</v>
      </c>
      <c r="S122" s="63">
        <v>18145440</v>
      </c>
      <c r="T122" s="55">
        <v>21478685.008878101</v>
      </c>
      <c r="U122" s="63">
        <v>224.97</v>
      </c>
      <c r="V122" s="63">
        <v>224.97</v>
      </c>
      <c r="W122" s="59">
        <v>2022</v>
      </c>
      <c r="X122" s="69">
        <v>1825680.39</v>
      </c>
      <c r="Y122" s="69">
        <f>+(K122*9.1+L122*18.19)*12</f>
        <v>550403.04</v>
      </c>
      <c r="AA122" s="70" t="e">
        <v>#REF!</v>
      </c>
      <c r="AD122" s="70" t="e">
        <v>#REF!</v>
      </c>
      <c r="AP122" s="61">
        <f>+N122-'Приложение №2'!E122</f>
        <v>0</v>
      </c>
      <c r="AQ122" s="69">
        <v>2265420.6</v>
      </c>
      <c r="AR122" s="3">
        <f t="shared" si="39"/>
        <v>514120.8</v>
      </c>
      <c r="AS122" s="3">
        <f t="shared" si="40"/>
        <v>18145440</v>
      </c>
      <c r="AT122" s="6">
        <f t="shared" si="45"/>
        <v>0</v>
      </c>
      <c r="AW122" s="62">
        <f t="shared" si="41"/>
        <v>56109594.188878097</v>
      </c>
      <c r="AX122" s="55"/>
      <c r="AY122" s="55"/>
      <c r="AZ122" s="1"/>
      <c r="BA122" s="55"/>
      <c r="BB122" s="55"/>
      <c r="BC122" s="55"/>
      <c r="BD122" s="55"/>
      <c r="BE122" s="55"/>
      <c r="BF122" s="55">
        <v>14003938.84</v>
      </c>
      <c r="BG122" s="55"/>
      <c r="BH122" s="55">
        <v>32173395.460000001</v>
      </c>
      <c r="BI122" s="55">
        <v>8022917.0300000003</v>
      </c>
      <c r="BJ122" s="55">
        <v>228290.3</v>
      </c>
      <c r="BK122" s="63"/>
      <c r="BL122" s="64">
        <v>1681052.5588781</v>
      </c>
      <c r="BM122" s="8">
        <f t="shared" si="42"/>
        <v>56109594.188878097</v>
      </c>
      <c r="BN122" s="55"/>
      <c r="BO122" s="55"/>
      <c r="BP122" s="72"/>
      <c r="BQ122" s="55"/>
      <c r="BR122" s="55"/>
      <c r="BS122" s="55"/>
      <c r="BT122" s="55"/>
      <c r="BU122" s="55"/>
      <c r="BV122" s="55">
        <v>14003938.84</v>
      </c>
      <c r="BW122" s="55"/>
      <c r="BX122" s="55">
        <v>32173395.460000001</v>
      </c>
      <c r="BY122" s="55">
        <v>8022917.0300000003</v>
      </c>
      <c r="BZ122" s="55">
        <v>228290.3</v>
      </c>
      <c r="CA122" s="63"/>
      <c r="CB122" s="64">
        <v>1681052.5588781</v>
      </c>
    </row>
    <row r="123" spans="1:80" x14ac:dyDescent="0.25">
      <c r="A123" s="52">
        <f t="shared" si="43"/>
        <v>106</v>
      </c>
      <c r="B123" s="53">
        <f t="shared" si="44"/>
        <v>106</v>
      </c>
      <c r="C123" s="53" t="s">
        <v>108</v>
      </c>
      <c r="D123" s="53" t="s">
        <v>186</v>
      </c>
      <c r="E123" s="54">
        <v>1986</v>
      </c>
      <c r="F123" s="54">
        <v>2013</v>
      </c>
      <c r="G123" s="54" t="s">
        <v>64</v>
      </c>
      <c r="H123" s="54">
        <v>12</v>
      </c>
      <c r="I123" s="54">
        <v>1</v>
      </c>
      <c r="J123" s="55">
        <v>5358.08</v>
      </c>
      <c r="K123" s="55">
        <v>4351.1000000000004</v>
      </c>
      <c r="L123" s="55">
        <v>75.099999999999994</v>
      </c>
      <c r="M123" s="56">
        <v>175</v>
      </c>
      <c r="N123" s="62">
        <v>28210776.7030304</v>
      </c>
      <c r="O123" s="55"/>
      <c r="P123" s="63">
        <v>8285257.2000000002</v>
      </c>
      <c r="Q123" s="63"/>
      <c r="R123" s="63">
        <v>3249810.1642</v>
      </c>
      <c r="S123" s="63">
        <v>16675709.3388304</v>
      </c>
      <c r="T123" s="55">
        <v>0</v>
      </c>
      <c r="U123" s="63">
        <v>6373.5883383105902</v>
      </c>
      <c r="V123" s="63">
        <v>6373.5883383105902</v>
      </c>
      <c r="W123" s="59">
        <v>2022</v>
      </c>
      <c r="X123" s="6" t="e">
        <v>#REF!</v>
      </c>
      <c r="Z123" s="62">
        <f>SUM(AA123:AO123)</f>
        <v>79559391.959999979</v>
      </c>
      <c r="AA123" s="55">
        <v>8341354.4473350001</v>
      </c>
      <c r="AB123" s="55">
        <v>5553433.1235902403</v>
      </c>
      <c r="AC123" s="55">
        <v>3380551.53059988</v>
      </c>
      <c r="AD123" s="55">
        <v>3049959.7596686399</v>
      </c>
      <c r="AE123" s="55">
        <v>1113740.92605384</v>
      </c>
      <c r="AF123" s="55"/>
      <c r="AG123" s="55">
        <v>465647.12643960002</v>
      </c>
      <c r="AH123" s="55">
        <v>0</v>
      </c>
      <c r="AI123" s="55">
        <v>3947389.3810512</v>
      </c>
      <c r="AJ123" s="55">
        <v>0</v>
      </c>
      <c r="AK123" s="55">
        <v>34269240.723520301</v>
      </c>
      <c r="AL123" s="55">
        <v>9011986.1099326797</v>
      </c>
      <c r="AM123" s="55">
        <v>8118689.5914000003</v>
      </c>
      <c r="AN123" s="63">
        <v>795593.91960000002</v>
      </c>
      <c r="AO123" s="64">
        <v>1511805.3208085999</v>
      </c>
      <c r="AP123" s="61">
        <f>+N123-'Приложение №2'!E123</f>
        <v>3.7252902984619141E-8</v>
      </c>
      <c r="AQ123" s="1">
        <v>2642732.98</v>
      </c>
      <c r="AR123" s="3">
        <f>+(K123*13.29+L123*22.52)*12*0.85</f>
        <v>607077.18420000002</v>
      </c>
      <c r="AS123" s="3">
        <f>+(K123*13.29+L123*22.52)*12*30</f>
        <v>21426253.560000002</v>
      </c>
      <c r="AT123" s="6">
        <f t="shared" si="45"/>
        <v>-4750544.2211696021</v>
      </c>
      <c r="AW123" s="62">
        <f t="shared" si="41"/>
        <v>28210776.703030363</v>
      </c>
      <c r="AX123" s="55">
        <v>6509238.7699999996</v>
      </c>
      <c r="AY123" s="55">
        <v>2319400.21</v>
      </c>
      <c r="AZ123" s="55">
        <v>3775889.5</v>
      </c>
      <c r="BA123" s="55">
        <v>1790627.54</v>
      </c>
      <c r="BB123" s="55"/>
      <c r="BC123" s="55"/>
      <c r="BD123" s="55"/>
      <c r="BE123" s="55">
        <v>0</v>
      </c>
      <c r="BF123" s="55">
        <v>4646956.9000000004</v>
      </c>
      <c r="BG123" s="55">
        <v>0</v>
      </c>
      <c r="BH123" s="55">
        <v>5003516.4000000004</v>
      </c>
      <c r="BI123" s="55">
        <v>2513954.87</v>
      </c>
      <c r="BJ123" s="55"/>
      <c r="BK123" s="63"/>
      <c r="BL123" s="64">
        <v>1651192.51303036</v>
      </c>
      <c r="BM123" s="8">
        <f t="shared" si="42"/>
        <v>28210776.703030363</v>
      </c>
      <c r="BN123" s="55">
        <v>6509238.7699999996</v>
      </c>
      <c r="BO123" s="55">
        <v>2319400.21</v>
      </c>
      <c r="BP123" s="71">
        <v>3775889.5</v>
      </c>
      <c r="BQ123" s="55">
        <v>1790627.54</v>
      </c>
      <c r="BR123" s="55"/>
      <c r="BS123" s="55"/>
      <c r="BT123" s="55"/>
      <c r="BU123" s="55">
        <v>0</v>
      </c>
      <c r="BV123" s="55">
        <v>4646956.9000000004</v>
      </c>
      <c r="BW123" s="55">
        <v>0</v>
      </c>
      <c r="BX123" s="55">
        <v>5003516.4000000004</v>
      </c>
      <c r="BY123" s="55">
        <v>2513954.87</v>
      </c>
      <c r="BZ123" s="55"/>
      <c r="CA123" s="63"/>
      <c r="CB123" s="64">
        <v>1651192.51303036</v>
      </c>
    </row>
    <row r="124" spans="1:80" x14ac:dyDescent="0.25">
      <c r="A124" s="52">
        <f t="shared" si="43"/>
        <v>107</v>
      </c>
      <c r="B124" s="53">
        <f t="shared" si="44"/>
        <v>107</v>
      </c>
      <c r="C124" s="53" t="s">
        <v>108</v>
      </c>
      <c r="D124" s="53" t="s">
        <v>187</v>
      </c>
      <c r="E124" s="54">
        <v>1974</v>
      </c>
      <c r="F124" s="54">
        <v>2013</v>
      </c>
      <c r="G124" s="54" t="s">
        <v>64</v>
      </c>
      <c r="H124" s="54">
        <v>4</v>
      </c>
      <c r="I124" s="54">
        <v>6</v>
      </c>
      <c r="J124" s="55">
        <v>5678.2</v>
      </c>
      <c r="K124" s="55">
        <v>4923.8</v>
      </c>
      <c r="L124" s="55">
        <v>69.900000000000006</v>
      </c>
      <c r="M124" s="56">
        <v>205</v>
      </c>
      <c r="N124" s="62">
        <v>8373368.8852533996</v>
      </c>
      <c r="O124" s="55"/>
      <c r="P124" s="63"/>
      <c r="Q124" s="63"/>
      <c r="R124" s="63">
        <v>2055008.88</v>
      </c>
      <c r="S124" s="63">
        <v>6318360.0052533997</v>
      </c>
      <c r="T124" s="55">
        <v>0</v>
      </c>
      <c r="U124" s="63">
        <v>1676.78652807606</v>
      </c>
      <c r="V124" s="63">
        <v>1676.78652807606</v>
      </c>
      <c r="W124" s="59">
        <v>2022</v>
      </c>
      <c r="X124" s="6" t="e">
        <v>#REF!</v>
      </c>
      <c r="Z124" s="62">
        <f>SUM(AA124:AO124)</f>
        <v>16666252.090000002</v>
      </c>
      <c r="AA124" s="55">
        <v>0</v>
      </c>
      <c r="AB124" s="55">
        <v>0</v>
      </c>
      <c r="AC124" s="55">
        <v>0</v>
      </c>
      <c r="AD124" s="55">
        <v>0</v>
      </c>
      <c r="AE124" s="55">
        <v>0</v>
      </c>
      <c r="AF124" s="55"/>
      <c r="AG124" s="55">
        <v>0</v>
      </c>
      <c r="AH124" s="55">
        <v>0</v>
      </c>
      <c r="AI124" s="55">
        <v>14678634.865746601</v>
      </c>
      <c r="AJ124" s="55">
        <v>0</v>
      </c>
      <c r="AK124" s="55">
        <v>0</v>
      </c>
      <c r="AL124" s="55">
        <v>0</v>
      </c>
      <c r="AM124" s="55">
        <v>1499962.6880999999</v>
      </c>
      <c r="AN124" s="63">
        <v>166662.5209</v>
      </c>
      <c r="AO124" s="64">
        <v>320992.01525340002</v>
      </c>
      <c r="AP124" s="61">
        <f>+N124-'Приложение №2'!E124</f>
        <v>0</v>
      </c>
      <c r="AQ124" s="1">
        <v>2280888.52</v>
      </c>
      <c r="AR124" s="3">
        <f>+(K124*10+L124*20)*12*0.85</f>
        <v>516487.2</v>
      </c>
      <c r="AS124" s="3">
        <f>+(K124*10+L124*20)*12*30</f>
        <v>18228960</v>
      </c>
      <c r="AT124" s="6">
        <f t="shared" si="45"/>
        <v>-11910599.994746599</v>
      </c>
      <c r="AW124" s="62">
        <f t="shared" si="41"/>
        <v>8373368.8852534005</v>
      </c>
      <c r="AX124" s="55">
        <v>0</v>
      </c>
      <c r="AY124" s="55">
        <v>0</v>
      </c>
      <c r="AZ124" s="55">
        <v>0</v>
      </c>
      <c r="BA124" s="55">
        <v>0</v>
      </c>
      <c r="BB124" s="55">
        <v>0</v>
      </c>
      <c r="BC124" s="55"/>
      <c r="BD124" s="55"/>
      <c r="BE124" s="55">
        <v>0</v>
      </c>
      <c r="BF124" s="55">
        <v>6528558.9900000002</v>
      </c>
      <c r="BG124" s="55">
        <v>0</v>
      </c>
      <c r="BH124" s="55">
        <v>0</v>
      </c>
      <c r="BI124" s="55">
        <v>0</v>
      </c>
      <c r="BJ124" s="55">
        <v>1523817.88</v>
      </c>
      <c r="BK124" s="63"/>
      <c r="BL124" s="64">
        <v>320992.01525340002</v>
      </c>
      <c r="BM124" s="8">
        <f t="shared" si="42"/>
        <v>8373368.8852534005</v>
      </c>
      <c r="BN124" s="55">
        <v>0</v>
      </c>
      <c r="BO124" s="55">
        <v>0</v>
      </c>
      <c r="BP124" s="71">
        <v>0</v>
      </c>
      <c r="BQ124" s="55">
        <v>0</v>
      </c>
      <c r="BR124" s="55">
        <v>0</v>
      </c>
      <c r="BS124" s="55"/>
      <c r="BT124" s="55"/>
      <c r="BU124" s="55">
        <v>0</v>
      </c>
      <c r="BV124" s="55">
        <v>6528558.9900000002</v>
      </c>
      <c r="BW124" s="55">
        <v>0</v>
      </c>
      <c r="BX124" s="55">
        <v>0</v>
      </c>
      <c r="BY124" s="55">
        <v>0</v>
      </c>
      <c r="BZ124" s="55">
        <v>1523817.88</v>
      </c>
      <c r="CA124" s="63"/>
      <c r="CB124" s="64">
        <v>320992.01525340002</v>
      </c>
    </row>
    <row r="125" spans="1:80" x14ac:dyDescent="0.25">
      <c r="A125" s="52">
        <f t="shared" si="43"/>
        <v>108</v>
      </c>
      <c r="B125" s="53">
        <f t="shared" si="44"/>
        <v>108</v>
      </c>
      <c r="C125" s="53" t="s">
        <v>108</v>
      </c>
      <c r="D125" s="53" t="s">
        <v>188</v>
      </c>
      <c r="E125" s="54">
        <v>1974</v>
      </c>
      <c r="F125" s="54">
        <v>2013</v>
      </c>
      <c r="G125" s="54" t="s">
        <v>64</v>
      </c>
      <c r="H125" s="54">
        <v>4</v>
      </c>
      <c r="I125" s="54">
        <v>6</v>
      </c>
      <c r="J125" s="55">
        <v>5563.5</v>
      </c>
      <c r="K125" s="55">
        <v>4878.8999999999996</v>
      </c>
      <c r="L125" s="55">
        <v>141.30000000000001</v>
      </c>
      <c r="M125" s="56">
        <v>202</v>
      </c>
      <c r="N125" s="62">
        <v>8125441.1614079997</v>
      </c>
      <c r="O125" s="55"/>
      <c r="P125" s="7"/>
      <c r="Q125" s="63"/>
      <c r="R125" s="63">
        <v>2007826.6</v>
      </c>
      <c r="S125" s="63">
        <v>6117614.5614080001</v>
      </c>
      <c r="T125" s="55">
        <v>0</v>
      </c>
      <c r="U125" s="63">
        <v>1618.5492931373301</v>
      </c>
      <c r="V125" s="63">
        <v>1618.5492931373301</v>
      </c>
      <c r="W125" s="59">
        <v>2022</v>
      </c>
      <c r="X125" s="6" t="e">
        <v>#REF!</v>
      </c>
      <c r="Z125" s="62">
        <f>SUM(AA125:AO125)</f>
        <v>16283600.800000001</v>
      </c>
      <c r="AA125" s="55">
        <v>0</v>
      </c>
      <c r="AB125" s="55">
        <v>0</v>
      </c>
      <c r="AC125" s="55">
        <v>0</v>
      </c>
      <c r="AD125" s="55">
        <v>0</v>
      </c>
      <c r="AE125" s="55">
        <v>0</v>
      </c>
      <c r="AF125" s="55"/>
      <c r="AG125" s="55">
        <v>0</v>
      </c>
      <c r="AH125" s="55">
        <v>0</v>
      </c>
      <c r="AI125" s="55">
        <v>14341618.568592001</v>
      </c>
      <c r="AJ125" s="55">
        <v>0</v>
      </c>
      <c r="AK125" s="55">
        <v>0</v>
      </c>
      <c r="AL125" s="55">
        <v>0</v>
      </c>
      <c r="AM125" s="55">
        <v>1465524.0719999999</v>
      </c>
      <c r="AN125" s="63">
        <v>162836.008</v>
      </c>
      <c r="AO125" s="64">
        <v>313622.15140799998</v>
      </c>
      <c r="AP125" s="61">
        <f>+N125-'Приложение №2'!E125</f>
        <v>0</v>
      </c>
      <c r="AQ125" s="1">
        <v>2384583.81</v>
      </c>
      <c r="AR125" s="3">
        <f>+(K125*10+L125*20)*12*0.85</f>
        <v>526473</v>
      </c>
      <c r="AS125" s="3">
        <f>+(K125*10+L125*20)*12*30</f>
        <v>18581400</v>
      </c>
      <c r="AT125" s="6">
        <f t="shared" si="45"/>
        <v>-12463785.438592</v>
      </c>
      <c r="AW125" s="62">
        <f t="shared" si="41"/>
        <v>8125441.1614079997</v>
      </c>
      <c r="AX125" s="55">
        <v>0</v>
      </c>
      <c r="AY125" s="55">
        <v>0</v>
      </c>
      <c r="AZ125" s="55">
        <v>0</v>
      </c>
      <c r="BA125" s="55">
        <v>0</v>
      </c>
      <c r="BB125" s="55">
        <v>0</v>
      </c>
      <c r="BC125" s="55"/>
      <c r="BD125" s="55"/>
      <c r="BE125" s="55">
        <v>0</v>
      </c>
      <c r="BF125" s="55">
        <v>6264359.7599999998</v>
      </c>
      <c r="BG125" s="55">
        <v>0</v>
      </c>
      <c r="BH125" s="55">
        <v>0</v>
      </c>
      <c r="BI125" s="55">
        <v>0</v>
      </c>
      <c r="BJ125" s="55">
        <v>1547459.25</v>
      </c>
      <c r="BK125" s="63"/>
      <c r="BL125" s="64">
        <v>313622.15140799998</v>
      </c>
      <c r="BM125" s="8">
        <f t="shared" si="42"/>
        <v>8125441.1614079997</v>
      </c>
      <c r="BN125" s="55">
        <v>0</v>
      </c>
      <c r="BO125" s="55">
        <v>0</v>
      </c>
      <c r="BP125" s="71">
        <v>0</v>
      </c>
      <c r="BQ125" s="55">
        <v>0</v>
      </c>
      <c r="BR125" s="55">
        <v>0</v>
      </c>
      <c r="BS125" s="55"/>
      <c r="BT125" s="55"/>
      <c r="BU125" s="55">
        <v>0</v>
      </c>
      <c r="BV125" s="55">
        <v>6264359.7599999998</v>
      </c>
      <c r="BW125" s="55">
        <v>0</v>
      </c>
      <c r="BX125" s="55">
        <v>0</v>
      </c>
      <c r="BY125" s="55">
        <v>0</v>
      </c>
      <c r="BZ125" s="55">
        <v>1547459.25</v>
      </c>
      <c r="CA125" s="63"/>
      <c r="CB125" s="64">
        <v>313622.15140799998</v>
      </c>
    </row>
    <row r="126" spans="1:80" x14ac:dyDescent="0.25">
      <c r="A126" s="52">
        <f t="shared" si="43"/>
        <v>109</v>
      </c>
      <c r="B126" s="53">
        <f t="shared" si="44"/>
        <v>109</v>
      </c>
      <c r="C126" s="53" t="s">
        <v>108</v>
      </c>
      <c r="D126" s="53" t="s">
        <v>189</v>
      </c>
      <c r="E126" s="54">
        <v>1968</v>
      </c>
      <c r="F126" s="54">
        <v>2013</v>
      </c>
      <c r="G126" s="54" t="s">
        <v>64</v>
      </c>
      <c r="H126" s="54">
        <v>4</v>
      </c>
      <c r="I126" s="54">
        <v>4</v>
      </c>
      <c r="J126" s="55">
        <v>1991.8</v>
      </c>
      <c r="K126" s="55">
        <v>1480.5</v>
      </c>
      <c r="L126" s="55">
        <v>509.2</v>
      </c>
      <c r="M126" s="56">
        <v>80</v>
      </c>
      <c r="N126" s="62">
        <v>435458</v>
      </c>
      <c r="O126" s="55"/>
      <c r="P126" s="63">
        <v>185262.05</v>
      </c>
      <c r="Q126" s="63"/>
      <c r="R126" s="63">
        <v>250195.95</v>
      </c>
      <c r="S126" s="63"/>
      <c r="T126" s="55">
        <v>0</v>
      </c>
      <c r="U126" s="63">
        <v>218.85610896115</v>
      </c>
      <c r="V126" s="63">
        <v>218.85610896115</v>
      </c>
      <c r="W126" s="59">
        <v>2022</v>
      </c>
      <c r="X126" s="6" t="e">
        <v>#REF!</v>
      </c>
      <c r="Z126" s="62">
        <f>SUM(AA126:AO126)</f>
        <v>670440.25</v>
      </c>
      <c r="AA126" s="55">
        <v>0</v>
      </c>
      <c r="AB126" s="55">
        <v>0</v>
      </c>
      <c r="AC126" s="55">
        <v>0</v>
      </c>
      <c r="AD126" s="55">
        <v>0</v>
      </c>
      <c r="AE126" s="55">
        <v>475262.77</v>
      </c>
      <c r="AF126" s="55"/>
      <c r="AG126" s="55">
        <v>0</v>
      </c>
      <c r="AH126" s="55">
        <v>0</v>
      </c>
      <c r="AI126" s="55">
        <v>0</v>
      </c>
      <c r="AJ126" s="55">
        <v>0</v>
      </c>
      <c r="AK126" s="55">
        <v>0</v>
      </c>
      <c r="AL126" s="55">
        <v>0</v>
      </c>
      <c r="AM126" s="55">
        <v>178933.79</v>
      </c>
      <c r="AN126" s="63">
        <v>10000</v>
      </c>
      <c r="AO126" s="64">
        <v>6243.69</v>
      </c>
      <c r="AP126" s="61">
        <f>+N126-'Приложение №2'!E126</f>
        <v>0</v>
      </c>
      <c r="AQ126" s="1">
        <v>1179424.97</v>
      </c>
      <c r="AR126" s="3">
        <f>+(K126*10+L126*20)*12*0.85</f>
        <v>254887.8</v>
      </c>
      <c r="AS126" s="3">
        <f>+(K126*10+L126*20)*12*30</f>
        <v>8996040</v>
      </c>
      <c r="AT126" s="6">
        <f t="shared" si="45"/>
        <v>-8996040</v>
      </c>
      <c r="AW126" s="62">
        <f t="shared" si="41"/>
        <v>435458</v>
      </c>
      <c r="AX126" s="55">
        <v>0</v>
      </c>
      <c r="AY126" s="55">
        <v>0</v>
      </c>
      <c r="AZ126" s="55">
        <v>0</v>
      </c>
      <c r="BA126" s="55">
        <v>0</v>
      </c>
      <c r="BB126" s="55">
        <v>435458</v>
      </c>
      <c r="BC126" s="55"/>
      <c r="BD126" s="55"/>
      <c r="BE126" s="55">
        <v>0</v>
      </c>
      <c r="BF126" s="55">
        <v>0</v>
      </c>
      <c r="BG126" s="55">
        <v>0</v>
      </c>
      <c r="BH126" s="55">
        <v>0</v>
      </c>
      <c r="BI126" s="55">
        <v>0</v>
      </c>
      <c r="BJ126" s="55"/>
      <c r="BK126" s="63"/>
      <c r="BL126" s="64"/>
      <c r="BM126" s="8">
        <f t="shared" si="42"/>
        <v>435458</v>
      </c>
      <c r="BN126" s="55">
        <v>0</v>
      </c>
      <c r="BO126" s="55">
        <v>0</v>
      </c>
      <c r="BP126" s="71">
        <v>0</v>
      </c>
      <c r="BQ126" s="55">
        <v>0</v>
      </c>
      <c r="BR126" s="55">
        <v>435458</v>
      </c>
      <c r="BS126" s="55"/>
      <c r="BT126" s="55"/>
      <c r="BU126" s="55">
        <v>0</v>
      </c>
      <c r="BV126" s="55">
        <v>0</v>
      </c>
      <c r="BW126" s="55">
        <v>0</v>
      </c>
      <c r="BX126" s="55">
        <v>0</v>
      </c>
      <c r="BY126" s="55">
        <v>0</v>
      </c>
      <c r="BZ126" s="55"/>
      <c r="CA126" s="63"/>
      <c r="CB126" s="64"/>
    </row>
    <row r="127" spans="1:80" s="69" customFormat="1" x14ac:dyDescent="0.25">
      <c r="A127" s="52">
        <f t="shared" si="43"/>
        <v>110</v>
      </c>
      <c r="B127" s="53">
        <f t="shared" si="44"/>
        <v>110</v>
      </c>
      <c r="C127" s="53" t="s">
        <v>108</v>
      </c>
      <c r="D127" s="53" t="s">
        <v>190</v>
      </c>
      <c r="E127" s="54">
        <v>1973</v>
      </c>
      <c r="F127" s="54"/>
      <c r="G127" s="54" t="s">
        <v>64</v>
      </c>
      <c r="H127" s="54">
        <v>4</v>
      </c>
      <c r="I127" s="54">
        <v>4</v>
      </c>
      <c r="J127" s="55">
        <v>2965.1</v>
      </c>
      <c r="K127" s="55">
        <v>2671.7</v>
      </c>
      <c r="L127" s="55">
        <v>61.9</v>
      </c>
      <c r="M127" s="56">
        <v>112</v>
      </c>
      <c r="N127" s="62">
        <v>1097504.5</v>
      </c>
      <c r="O127" s="55"/>
      <c r="P127" s="63"/>
      <c r="Q127" s="63"/>
      <c r="R127" s="63">
        <v>1097504.5</v>
      </c>
      <c r="S127" s="63"/>
      <c r="T127" s="55">
        <v>0</v>
      </c>
      <c r="U127" s="63">
        <v>401.48686713491401</v>
      </c>
      <c r="V127" s="63">
        <v>401.48686713491401</v>
      </c>
      <c r="W127" s="59">
        <v>2022</v>
      </c>
      <c r="AA127" s="70"/>
      <c r="AD127" s="70"/>
      <c r="AP127" s="61">
        <f>+N127-'Приложение №2'!E127</f>
        <v>0</v>
      </c>
      <c r="AQ127" s="73">
        <v>1534449.43</v>
      </c>
      <c r="AR127" s="3">
        <f>+(K127*10+L127*20)*12*0.85</f>
        <v>285141</v>
      </c>
      <c r="AS127" s="3">
        <f>+(K127*10+L127*20)*12*30</f>
        <v>10063800</v>
      </c>
      <c r="AT127" s="6">
        <f t="shared" si="45"/>
        <v>-10063800</v>
      </c>
      <c r="AW127" s="62">
        <f t="shared" si="41"/>
        <v>1097504.5</v>
      </c>
      <c r="AX127" s="55">
        <v>0</v>
      </c>
      <c r="AY127" s="55"/>
      <c r="AZ127" s="55">
        <v>0</v>
      </c>
      <c r="BA127" s="1"/>
      <c r="BB127" s="55">
        <v>1097504.5</v>
      </c>
      <c r="BC127" s="55"/>
      <c r="BD127" s="55"/>
      <c r="BE127" s="55">
        <v>0</v>
      </c>
      <c r="BF127" s="55">
        <v>0</v>
      </c>
      <c r="BG127" s="55">
        <v>0</v>
      </c>
      <c r="BH127" s="55">
        <v>0</v>
      </c>
      <c r="BI127" s="55">
        <v>0</v>
      </c>
      <c r="BJ127" s="55"/>
      <c r="BK127" s="55"/>
      <c r="BL127" s="64"/>
      <c r="BM127" s="8">
        <f t="shared" si="42"/>
        <v>1097504.5</v>
      </c>
      <c r="BN127" s="55">
        <v>0</v>
      </c>
      <c r="BO127" s="55"/>
      <c r="BP127" s="71">
        <v>0</v>
      </c>
      <c r="BQ127" s="1"/>
      <c r="BR127" s="55">
        <v>1097504.5</v>
      </c>
      <c r="BS127" s="55"/>
      <c r="BT127" s="55"/>
      <c r="BU127" s="55">
        <v>0</v>
      </c>
      <c r="BV127" s="55">
        <v>0</v>
      </c>
      <c r="BW127" s="55">
        <v>0</v>
      </c>
      <c r="BX127" s="55">
        <v>0</v>
      </c>
      <c r="BY127" s="55">
        <v>0</v>
      </c>
      <c r="BZ127" s="55"/>
      <c r="CA127" s="55"/>
      <c r="CB127" s="64"/>
    </row>
    <row r="128" spans="1:80" x14ac:dyDescent="0.25">
      <c r="A128" s="52">
        <f t="shared" si="43"/>
        <v>111</v>
      </c>
      <c r="B128" s="53">
        <f t="shared" si="44"/>
        <v>111</v>
      </c>
      <c r="C128" s="53" t="s">
        <v>108</v>
      </c>
      <c r="D128" s="53" t="s">
        <v>191</v>
      </c>
      <c r="E128" s="54">
        <v>1977</v>
      </c>
      <c r="F128" s="54">
        <v>2013</v>
      </c>
      <c r="G128" s="54" t="s">
        <v>64</v>
      </c>
      <c r="H128" s="54">
        <v>9</v>
      </c>
      <c r="I128" s="54">
        <v>1</v>
      </c>
      <c r="J128" s="55">
        <v>2365.9899999999998</v>
      </c>
      <c r="K128" s="55">
        <v>1903.5</v>
      </c>
      <c r="L128" s="55">
        <v>136</v>
      </c>
      <c r="M128" s="56">
        <v>70</v>
      </c>
      <c r="N128" s="62">
        <v>678959.93939557998</v>
      </c>
      <c r="O128" s="55"/>
      <c r="P128" s="63"/>
      <c r="Q128" s="63"/>
      <c r="R128" s="63">
        <v>178776.52939558</v>
      </c>
      <c r="S128" s="63">
        <v>500183.41</v>
      </c>
      <c r="T128" s="55">
        <v>0</v>
      </c>
      <c r="U128" s="63">
        <v>332.90509408952198</v>
      </c>
      <c r="V128" s="63">
        <v>332.90509408952198</v>
      </c>
      <c r="W128" s="59">
        <v>2022</v>
      </c>
      <c r="X128" s="6" t="e">
        <v>#REF!</v>
      </c>
      <c r="Z128" s="62">
        <f t="shared" ref="Z128:Z154" si="46">SUM(AA128:AO128)</f>
        <v>26854433.359999958</v>
      </c>
      <c r="AA128" s="55">
        <v>3681294.5645548799</v>
      </c>
      <c r="AB128" s="55">
        <v>2450899.70770344</v>
      </c>
      <c r="AC128" s="55">
        <v>0</v>
      </c>
      <c r="AD128" s="55">
        <v>1346040.4200070801</v>
      </c>
      <c r="AE128" s="55">
        <v>491527.90003841999</v>
      </c>
      <c r="AF128" s="55"/>
      <c r="AG128" s="55">
        <v>205504.30800059999</v>
      </c>
      <c r="AH128" s="55">
        <v>0</v>
      </c>
      <c r="AI128" s="55">
        <v>0</v>
      </c>
      <c r="AJ128" s="55">
        <v>0</v>
      </c>
      <c r="AK128" s="55">
        <v>15124062.916324699</v>
      </c>
      <c r="AL128" s="55">
        <v>0</v>
      </c>
      <c r="AM128" s="55">
        <v>2777050.0558000002</v>
      </c>
      <c r="AN128" s="63">
        <v>268544.33360000001</v>
      </c>
      <c r="AO128" s="64">
        <v>509509.15397083998</v>
      </c>
      <c r="AP128" s="61">
        <f>+N128-'Приложение №2'!E128</f>
        <v>0</v>
      </c>
      <c r="AQ128" s="1">
        <f>1333569.91-680973.2372-75663.69</f>
        <v>576932.98279999988</v>
      </c>
      <c r="AR128" s="3">
        <f>+(K128*13.29+L128*22.52)*12*0.85</f>
        <v>289274.397</v>
      </c>
      <c r="AS128" s="3">
        <f>+(K128*13.29+L128*22.52)*12*30-6485.14-39928.49</f>
        <v>10163270.969999999</v>
      </c>
      <c r="AT128" s="6">
        <f t="shared" si="45"/>
        <v>-9663087.5599999987</v>
      </c>
      <c r="AW128" s="62">
        <f t="shared" si="41"/>
        <v>678959.93939557998</v>
      </c>
      <c r="AX128" s="55"/>
      <c r="AY128" s="55"/>
      <c r="AZ128" s="55"/>
      <c r="BA128" s="55"/>
      <c r="BB128" s="55">
        <v>500183.41</v>
      </c>
      <c r="BC128" s="55"/>
      <c r="BD128" s="55"/>
      <c r="BE128" s="55">
        <v>0</v>
      </c>
      <c r="BF128" s="55">
        <v>0</v>
      </c>
      <c r="BG128" s="55">
        <v>0</v>
      </c>
      <c r="BH128" s="55"/>
      <c r="BI128" s="55">
        <v>0</v>
      </c>
      <c r="BJ128" s="55"/>
      <c r="BK128" s="63"/>
      <c r="BL128" s="64">
        <v>178776.52939558</v>
      </c>
      <c r="BM128" s="8">
        <f t="shared" si="42"/>
        <v>678959.93939557998</v>
      </c>
      <c r="BN128" s="55"/>
      <c r="BO128" s="55"/>
      <c r="BP128" s="71"/>
      <c r="BQ128" s="55"/>
      <c r="BR128" s="55">
        <v>500183.41</v>
      </c>
      <c r="BS128" s="55"/>
      <c r="BT128" s="55"/>
      <c r="BU128" s="55">
        <v>0</v>
      </c>
      <c r="BV128" s="55">
        <v>0</v>
      </c>
      <c r="BW128" s="55">
        <v>0</v>
      </c>
      <c r="BX128" s="55"/>
      <c r="BY128" s="55">
        <v>0</v>
      </c>
      <c r="BZ128" s="55"/>
      <c r="CA128" s="63"/>
      <c r="CB128" s="64">
        <v>178776.52939558</v>
      </c>
    </row>
    <row r="129" spans="1:80" x14ac:dyDescent="0.25">
      <c r="A129" s="52">
        <f t="shared" si="43"/>
        <v>112</v>
      </c>
      <c r="B129" s="53">
        <f t="shared" si="44"/>
        <v>112</v>
      </c>
      <c r="C129" s="53" t="s">
        <v>108</v>
      </c>
      <c r="D129" s="53" t="s">
        <v>192</v>
      </c>
      <c r="E129" s="54">
        <v>1964</v>
      </c>
      <c r="F129" s="54">
        <v>2016</v>
      </c>
      <c r="G129" s="54" t="s">
        <v>64</v>
      </c>
      <c r="H129" s="54">
        <v>4</v>
      </c>
      <c r="I129" s="54">
        <v>4</v>
      </c>
      <c r="J129" s="55">
        <v>2622.1</v>
      </c>
      <c r="K129" s="55">
        <v>2204.5</v>
      </c>
      <c r="L129" s="55">
        <v>225.2</v>
      </c>
      <c r="M129" s="56">
        <v>107</v>
      </c>
      <c r="N129" s="62">
        <v>994811.65</v>
      </c>
      <c r="O129" s="55"/>
      <c r="P129" s="63">
        <v>613613.93000000005</v>
      </c>
      <c r="Q129" s="63"/>
      <c r="R129" s="63">
        <v>381197.72</v>
      </c>
      <c r="S129" s="63">
        <v>0</v>
      </c>
      <c r="T129" s="55">
        <v>0</v>
      </c>
      <c r="U129" s="63">
        <v>409.43805819648497</v>
      </c>
      <c r="V129" s="63">
        <v>409.43805819648497</v>
      </c>
      <c r="W129" s="59">
        <v>2022</v>
      </c>
      <c r="X129" s="6" t="e">
        <v>#REF!</v>
      </c>
      <c r="Z129" s="62">
        <f t="shared" si="46"/>
        <v>1186752.2</v>
      </c>
      <c r="AA129" s="55">
        <v>0</v>
      </c>
      <c r="AB129" s="55">
        <v>0</v>
      </c>
      <c r="AC129" s="55">
        <v>0</v>
      </c>
      <c r="AD129" s="55">
        <v>0</v>
      </c>
      <c r="AE129" s="55">
        <v>994811.73</v>
      </c>
      <c r="AF129" s="55"/>
      <c r="AG129" s="55">
        <v>0</v>
      </c>
      <c r="AH129" s="55">
        <v>0</v>
      </c>
      <c r="AI129" s="55">
        <v>0</v>
      </c>
      <c r="AJ129" s="55">
        <v>0</v>
      </c>
      <c r="AK129" s="55">
        <v>0</v>
      </c>
      <c r="AL129" s="55">
        <v>0</v>
      </c>
      <c r="AM129" s="55">
        <v>176245.47</v>
      </c>
      <c r="AN129" s="63">
        <v>10000</v>
      </c>
      <c r="AO129" s="64">
        <v>5695</v>
      </c>
      <c r="AP129" s="61">
        <f>+N129-'Приложение №2'!E129</f>
        <v>0</v>
      </c>
      <c r="AQ129" s="1">
        <v>1171903.8500000001</v>
      </c>
      <c r="AR129" s="3">
        <f>+(K129*10+L129*20)*12*0.85</f>
        <v>270799.8</v>
      </c>
      <c r="AS129" s="3">
        <f>+(K129*10+L129*20)*12*30</f>
        <v>9557640</v>
      </c>
      <c r="AT129" s="6">
        <f t="shared" si="45"/>
        <v>-9557640</v>
      </c>
      <c r="AW129" s="62">
        <f t="shared" si="41"/>
        <v>994811.65</v>
      </c>
      <c r="AX129" s="55">
        <v>0</v>
      </c>
      <c r="AY129" s="55">
        <v>0</v>
      </c>
      <c r="AZ129" s="55">
        <v>0</v>
      </c>
      <c r="BA129" s="55">
        <v>0</v>
      </c>
      <c r="BB129" s="55">
        <v>994811.65</v>
      </c>
      <c r="BC129" s="55"/>
      <c r="BD129" s="55"/>
      <c r="BE129" s="55">
        <v>0</v>
      </c>
      <c r="BF129" s="55">
        <v>0</v>
      </c>
      <c r="BG129" s="55">
        <v>0</v>
      </c>
      <c r="BH129" s="55">
        <v>0</v>
      </c>
      <c r="BI129" s="55">
        <v>0</v>
      </c>
      <c r="BJ129" s="55"/>
      <c r="BK129" s="63"/>
      <c r="BL129" s="64"/>
      <c r="BM129" s="8">
        <f t="shared" si="42"/>
        <v>994811.65</v>
      </c>
      <c r="BN129" s="55">
        <v>0</v>
      </c>
      <c r="BO129" s="55">
        <v>0</v>
      </c>
      <c r="BP129" s="71">
        <v>0</v>
      </c>
      <c r="BQ129" s="55">
        <v>0</v>
      </c>
      <c r="BR129" s="55">
        <v>994811.65</v>
      </c>
      <c r="BS129" s="55"/>
      <c r="BT129" s="55"/>
      <c r="BU129" s="55">
        <v>0</v>
      </c>
      <c r="BV129" s="55">
        <v>0</v>
      </c>
      <c r="BW129" s="55">
        <v>0</v>
      </c>
      <c r="BX129" s="55">
        <v>0</v>
      </c>
      <c r="BY129" s="55">
        <v>0</v>
      </c>
      <c r="BZ129" s="55"/>
      <c r="CA129" s="63"/>
      <c r="CB129" s="64"/>
    </row>
    <row r="130" spans="1:80" x14ac:dyDescent="0.25">
      <c r="A130" s="52">
        <f t="shared" si="43"/>
        <v>113</v>
      </c>
      <c r="B130" s="53">
        <f t="shared" si="44"/>
        <v>113</v>
      </c>
      <c r="C130" s="53" t="s">
        <v>108</v>
      </c>
      <c r="D130" s="53" t="s">
        <v>193</v>
      </c>
      <c r="E130" s="54">
        <v>1973</v>
      </c>
      <c r="F130" s="54">
        <v>2013</v>
      </c>
      <c r="G130" s="54" t="s">
        <v>64</v>
      </c>
      <c r="H130" s="54">
        <v>5</v>
      </c>
      <c r="I130" s="54">
        <v>8</v>
      </c>
      <c r="J130" s="55">
        <v>6624.9</v>
      </c>
      <c r="K130" s="55">
        <v>5826</v>
      </c>
      <c r="L130" s="55">
        <v>239.3</v>
      </c>
      <c r="M130" s="56">
        <v>272</v>
      </c>
      <c r="N130" s="62">
        <v>2196546.3422400001</v>
      </c>
      <c r="O130" s="55"/>
      <c r="P130" s="63"/>
      <c r="Q130" s="63"/>
      <c r="R130" s="63">
        <v>2196546.3422400001</v>
      </c>
      <c r="S130" s="63">
        <v>0</v>
      </c>
      <c r="T130" s="55">
        <v>0</v>
      </c>
      <c r="U130" s="63">
        <v>362.14966155672403</v>
      </c>
      <c r="V130" s="63">
        <v>362.14966155672403</v>
      </c>
      <c r="W130" s="59">
        <v>2022</v>
      </c>
      <c r="X130" s="6" t="e">
        <v>#REF!</v>
      </c>
      <c r="Z130" s="62">
        <f t="shared" si="46"/>
        <v>68280809.790000021</v>
      </c>
      <c r="AA130" s="55">
        <v>14487752.1113816</v>
      </c>
      <c r="AB130" s="55">
        <v>5162581.6814224804</v>
      </c>
      <c r="AC130" s="55">
        <v>5393749.1598622799</v>
      </c>
      <c r="AD130" s="55">
        <v>3376828.00437696</v>
      </c>
      <c r="AE130" s="55">
        <v>2066066.63772516</v>
      </c>
      <c r="AF130" s="55"/>
      <c r="AG130" s="55">
        <v>0</v>
      </c>
      <c r="AH130" s="55">
        <v>0</v>
      </c>
      <c r="AI130" s="55">
        <v>0</v>
      </c>
      <c r="AJ130" s="55">
        <v>0</v>
      </c>
      <c r="AK130" s="55">
        <v>13751557.8881974</v>
      </c>
      <c r="AL130" s="55">
        <v>14832664.840462999</v>
      </c>
      <c r="AM130" s="55">
        <v>7235033.8569999998</v>
      </c>
      <c r="AN130" s="63">
        <v>682808.09790000005</v>
      </c>
      <c r="AO130" s="64">
        <v>1291767.5116711401</v>
      </c>
      <c r="AP130" s="61">
        <f>+N130-'Приложение №2'!E130</f>
        <v>0</v>
      </c>
      <c r="AQ130" s="1">
        <f>3058321.2-217412.18</f>
        <v>2840909.02</v>
      </c>
      <c r="AR130" s="3">
        <f>+(K130*10+L130*20)*12*0.85</f>
        <v>643069.19999999995</v>
      </c>
      <c r="AS130" s="3">
        <f>+(K130*10+L130*20)*12*30-1066942.82</f>
        <v>21629617.18</v>
      </c>
      <c r="AT130" s="6">
        <f t="shared" si="45"/>
        <v>-21629617.18</v>
      </c>
      <c r="AW130" s="62">
        <f t="shared" si="41"/>
        <v>2196546.3422400001</v>
      </c>
      <c r="AX130" s="55"/>
      <c r="AY130" s="55"/>
      <c r="AZ130" s="55"/>
      <c r="BA130" s="55"/>
      <c r="BB130" s="55">
        <v>2104784.6800000002</v>
      </c>
      <c r="BC130" s="55"/>
      <c r="BD130" s="55"/>
      <c r="BE130" s="55">
        <v>0</v>
      </c>
      <c r="BF130" s="55">
        <v>0</v>
      </c>
      <c r="BG130" s="55"/>
      <c r="BH130" s="55"/>
      <c r="BI130" s="55"/>
      <c r="BJ130" s="55">
        <v>2857.14</v>
      </c>
      <c r="BK130" s="63">
        <v>24000</v>
      </c>
      <c r="BL130" s="64">
        <v>64904.522239999998</v>
      </c>
      <c r="BM130" s="8">
        <f t="shared" si="42"/>
        <v>2196546.3422400001</v>
      </c>
      <c r="BN130" s="55"/>
      <c r="BO130" s="55"/>
      <c r="BP130" s="71"/>
      <c r="BQ130" s="55"/>
      <c r="BR130" s="55">
        <v>2104784.6800000002</v>
      </c>
      <c r="BS130" s="55"/>
      <c r="BT130" s="55"/>
      <c r="BU130" s="55">
        <v>0</v>
      </c>
      <c r="BV130" s="55">
        <v>0</v>
      </c>
      <c r="BW130" s="55"/>
      <c r="BX130" s="55"/>
      <c r="BY130" s="55"/>
      <c r="BZ130" s="55">
        <v>2857.14</v>
      </c>
      <c r="CA130" s="63">
        <v>24000</v>
      </c>
      <c r="CB130" s="64">
        <v>64904.522239999998</v>
      </c>
    </row>
    <row r="131" spans="1:80" x14ac:dyDescent="0.25">
      <c r="A131" s="52">
        <f t="shared" si="43"/>
        <v>114</v>
      </c>
      <c r="B131" s="53">
        <f t="shared" si="44"/>
        <v>114</v>
      </c>
      <c r="C131" s="53" t="s">
        <v>108</v>
      </c>
      <c r="D131" s="53" t="s">
        <v>194</v>
      </c>
      <c r="E131" s="54">
        <v>1975</v>
      </c>
      <c r="F131" s="54">
        <v>2013</v>
      </c>
      <c r="G131" s="54" t="s">
        <v>64</v>
      </c>
      <c r="H131" s="54">
        <v>4</v>
      </c>
      <c r="I131" s="54">
        <v>6</v>
      </c>
      <c r="J131" s="55">
        <v>5531.3</v>
      </c>
      <c r="K131" s="55">
        <v>4842.7</v>
      </c>
      <c r="L131" s="55">
        <v>189.7</v>
      </c>
      <c r="M131" s="56">
        <v>224</v>
      </c>
      <c r="N131" s="62">
        <v>22252018.226828001</v>
      </c>
      <c r="O131" s="55"/>
      <c r="P131" s="63"/>
      <c r="Q131" s="63"/>
      <c r="R131" s="63">
        <v>2307202.7000000002</v>
      </c>
      <c r="S131" s="63">
        <v>14401951.729839999</v>
      </c>
      <c r="T131" s="63">
        <v>5542863.7969880002</v>
      </c>
      <c r="U131" s="63">
        <v>4594.9611222722897</v>
      </c>
      <c r="V131" s="63">
        <v>1339.2830200640001</v>
      </c>
      <c r="W131" s="59">
        <v>2022</v>
      </c>
      <c r="X131" s="6" t="e">
        <v>#REF!</v>
      </c>
      <c r="Z131" s="62">
        <f t="shared" si="46"/>
        <v>87511152</v>
      </c>
      <c r="AA131" s="55">
        <v>8013494.3878079997</v>
      </c>
      <c r="AB131" s="55">
        <v>4634422.8779520001</v>
      </c>
      <c r="AC131" s="55">
        <v>4898928.1239360003</v>
      </c>
      <c r="AD131" s="55">
        <v>3735474.3417600002</v>
      </c>
      <c r="AE131" s="55">
        <v>1492245.5325120001</v>
      </c>
      <c r="AF131" s="55"/>
      <c r="AG131" s="55">
        <v>398188.42560000002</v>
      </c>
      <c r="AH131" s="55">
        <v>0</v>
      </c>
      <c r="AI131" s="55">
        <v>14265240.0912</v>
      </c>
      <c r="AJ131" s="55">
        <v>0</v>
      </c>
      <c r="AK131" s="55">
        <v>27696044.559455998</v>
      </c>
      <c r="AL131" s="55">
        <v>10892499.105599999</v>
      </c>
      <c r="AM131" s="55">
        <v>8946956.6400000006</v>
      </c>
      <c r="AN131" s="63">
        <v>875111.52</v>
      </c>
      <c r="AO131" s="64">
        <v>1662546.394176</v>
      </c>
      <c r="AP131" s="61">
        <f>+N131-'Приложение №2'!E131</f>
        <v>0</v>
      </c>
      <c r="AQ131" s="6">
        <f>2505054.36-R317</f>
        <v>2262054.71</v>
      </c>
      <c r="AR131" s="3">
        <f>+(K131*10+L131*20)*12*0.85</f>
        <v>532654.19999999995</v>
      </c>
      <c r="AS131" s="3">
        <f>+(K131*10+L131*20)*12*30-S317</f>
        <v>14521661.32234</v>
      </c>
      <c r="AT131" s="6">
        <f t="shared" si="45"/>
        <v>-119709.59250000119</v>
      </c>
      <c r="AW131" s="62">
        <f t="shared" si="41"/>
        <v>22252018.226827998</v>
      </c>
      <c r="AX131" s="55"/>
      <c r="AY131" s="55"/>
      <c r="AZ131" s="55"/>
      <c r="BA131" s="55"/>
      <c r="BB131" s="55"/>
      <c r="BC131" s="55"/>
      <c r="BD131" s="55"/>
      <c r="BE131" s="55">
        <v>0</v>
      </c>
      <c r="BF131" s="55"/>
      <c r="BG131" s="55">
        <v>0</v>
      </c>
      <c r="BH131" s="55">
        <v>21575728.449999999</v>
      </c>
      <c r="BI131" s="55"/>
      <c r="BJ131" s="55"/>
      <c r="BK131" s="63"/>
      <c r="BL131" s="64">
        <v>676289.77682799997</v>
      </c>
      <c r="BM131" s="8">
        <f t="shared" si="42"/>
        <v>22252018.226827998</v>
      </c>
      <c r="BN131" s="55"/>
      <c r="BO131" s="55"/>
      <c r="BP131" s="71"/>
      <c r="BQ131" s="55"/>
      <c r="BR131" s="55"/>
      <c r="BS131" s="55"/>
      <c r="BT131" s="55"/>
      <c r="BU131" s="55">
        <v>0</v>
      </c>
      <c r="BV131" s="55"/>
      <c r="BW131" s="55">
        <v>0</v>
      </c>
      <c r="BX131" s="55">
        <v>21575728.449999999</v>
      </c>
      <c r="BY131" s="55"/>
      <c r="BZ131" s="55"/>
      <c r="CA131" s="63"/>
      <c r="CB131" s="64">
        <v>676289.77682799997</v>
      </c>
    </row>
    <row r="132" spans="1:80" x14ac:dyDescent="0.25">
      <c r="A132" s="52">
        <f t="shared" si="43"/>
        <v>115</v>
      </c>
      <c r="B132" s="53">
        <f t="shared" si="44"/>
        <v>115</v>
      </c>
      <c r="C132" s="53" t="s">
        <v>108</v>
      </c>
      <c r="D132" s="53" t="s">
        <v>195</v>
      </c>
      <c r="E132" s="54">
        <v>1974</v>
      </c>
      <c r="F132" s="54">
        <v>2013</v>
      </c>
      <c r="G132" s="54" t="s">
        <v>64</v>
      </c>
      <c r="H132" s="54">
        <v>4</v>
      </c>
      <c r="I132" s="54">
        <v>4</v>
      </c>
      <c r="J132" s="55">
        <v>3940.9</v>
      </c>
      <c r="K132" s="55">
        <v>3373.8</v>
      </c>
      <c r="L132" s="55">
        <v>212.7</v>
      </c>
      <c r="M132" s="56">
        <v>140</v>
      </c>
      <c r="N132" s="62">
        <v>24178412.226240698</v>
      </c>
      <c r="O132" s="55"/>
      <c r="Q132" s="63"/>
      <c r="R132" s="63">
        <v>1982331.96</v>
      </c>
      <c r="S132" s="63">
        <v>10542328.346240699</v>
      </c>
      <c r="T132" s="55">
        <v>11653751.92</v>
      </c>
      <c r="U132" s="63">
        <v>6741.5062669010804</v>
      </c>
      <c r="V132" s="63">
        <v>6741.5062669010804</v>
      </c>
      <c r="W132" s="59">
        <v>2022</v>
      </c>
      <c r="X132" s="6" t="e">
        <v>#REF!</v>
      </c>
      <c r="Z132" s="62">
        <f t="shared" si="46"/>
        <v>62533714.20789399</v>
      </c>
      <c r="AA132" s="55">
        <v>6056878.3300000001</v>
      </c>
      <c r="AB132" s="55">
        <v>3324136.3562038802</v>
      </c>
      <c r="AC132" s="55">
        <v>3513858.2605085401</v>
      </c>
      <c r="AD132" s="55">
        <v>2679346.7940094802</v>
      </c>
      <c r="AE132" s="55">
        <v>1070344.1973180601</v>
      </c>
      <c r="AF132" s="55"/>
      <c r="AG132" s="55">
        <v>285608.94385380001</v>
      </c>
      <c r="AH132" s="55">
        <v>0</v>
      </c>
      <c r="AI132" s="55">
        <v>10232040.6523188</v>
      </c>
      <c r="AJ132" s="55">
        <v>0</v>
      </c>
      <c r="AK132" s="55">
        <v>19865564.963810999</v>
      </c>
      <c r="AL132" s="55">
        <v>7812871.9105562996</v>
      </c>
      <c r="AM132" s="55">
        <v>5963728.8811999997</v>
      </c>
      <c r="AN132" s="63">
        <v>570673.40870000003</v>
      </c>
      <c r="AO132" s="64">
        <v>1158661.5094141399</v>
      </c>
      <c r="AP132" s="61">
        <f>+N132-'Приложение №2'!E132</f>
        <v>-4.0978193283081055E-8</v>
      </c>
      <c r="AQ132" s="1">
        <f>1707386.79-112573.23</f>
        <v>1594813.56</v>
      </c>
      <c r="AR132" s="3">
        <f>+(K132*10+L132*20)*12*0.85</f>
        <v>387518.39999999997</v>
      </c>
      <c r="AS132" s="3">
        <f>+(K132*10+L132*20)*12*30-810211.65</f>
        <v>12866908.35</v>
      </c>
      <c r="AT132" s="6">
        <f t="shared" si="45"/>
        <v>-2324580.0037593003</v>
      </c>
      <c r="AW132" s="62">
        <f t="shared" si="41"/>
        <v>24178412.226240739</v>
      </c>
      <c r="AX132" s="55">
        <v>5305996.59</v>
      </c>
      <c r="BB132" s="55"/>
      <c r="BC132" s="55"/>
      <c r="BD132" s="55"/>
      <c r="BE132" s="55">
        <v>0</v>
      </c>
      <c r="BF132" s="55">
        <v>4125438.85</v>
      </c>
      <c r="BG132" s="55">
        <v>0</v>
      </c>
      <c r="BH132" s="55">
        <v>13688562.5</v>
      </c>
      <c r="BI132" s="55"/>
      <c r="BJ132" s="55"/>
      <c r="BK132" s="63"/>
      <c r="BL132" s="64">
        <v>1058414.28624074</v>
      </c>
      <c r="BM132" s="8">
        <f t="shared" si="42"/>
        <v>24178412.226240739</v>
      </c>
      <c r="BN132" s="55">
        <v>5305996.59</v>
      </c>
      <c r="BP132" s="72"/>
      <c r="BR132" s="55"/>
      <c r="BS132" s="55"/>
      <c r="BT132" s="55"/>
      <c r="BU132" s="55">
        <v>0</v>
      </c>
      <c r="BV132" s="55">
        <v>4125438.85</v>
      </c>
      <c r="BW132" s="55">
        <v>0</v>
      </c>
      <c r="BX132" s="55">
        <v>13688562.5</v>
      </c>
      <c r="BY132" s="55"/>
      <c r="BZ132" s="55"/>
      <c r="CA132" s="63"/>
      <c r="CB132" s="64">
        <v>1058414.28624074</v>
      </c>
    </row>
    <row r="133" spans="1:80" x14ac:dyDescent="0.25">
      <c r="A133" s="52">
        <f t="shared" si="43"/>
        <v>116</v>
      </c>
      <c r="B133" s="53">
        <f t="shared" si="44"/>
        <v>116</v>
      </c>
      <c r="C133" s="53" t="s">
        <v>108</v>
      </c>
      <c r="D133" s="53" t="s">
        <v>196</v>
      </c>
      <c r="E133" s="54">
        <v>1977</v>
      </c>
      <c r="F133" s="54">
        <v>2013</v>
      </c>
      <c r="G133" s="54" t="s">
        <v>64</v>
      </c>
      <c r="H133" s="54">
        <v>9</v>
      </c>
      <c r="I133" s="54">
        <v>1</v>
      </c>
      <c r="J133" s="55">
        <v>2362.6</v>
      </c>
      <c r="K133" s="55">
        <v>1902.4</v>
      </c>
      <c r="L133" s="55">
        <v>195.5</v>
      </c>
      <c r="M133" s="56">
        <v>72</v>
      </c>
      <c r="N133" s="62">
        <v>1817380.4565099401</v>
      </c>
      <c r="O133" s="55"/>
      <c r="P133" s="63"/>
      <c r="Q133" s="63"/>
      <c r="R133" s="63"/>
      <c r="S133" s="63">
        <v>1817380.4565099401</v>
      </c>
      <c r="T133" s="55">
        <v>0</v>
      </c>
      <c r="U133" s="63">
        <v>866.28555055528898</v>
      </c>
      <c r="V133" s="63">
        <v>866.28555055528898</v>
      </c>
      <c r="W133" s="59">
        <v>2022</v>
      </c>
      <c r="X133" s="6" t="e">
        <v>#REF!</v>
      </c>
      <c r="Z133" s="62">
        <f t="shared" si="46"/>
        <v>28501175.670387998</v>
      </c>
      <c r="AA133" s="55">
        <v>3719699.05</v>
      </c>
      <c r="AB133" s="55">
        <v>2447938.89958044</v>
      </c>
      <c r="AC133" s="55">
        <v>1490138.3398477801</v>
      </c>
      <c r="AD133" s="55">
        <v>1344414.3471276001</v>
      </c>
      <c r="AE133" s="55">
        <v>490934.10601116001</v>
      </c>
      <c r="AF133" s="55"/>
      <c r="AG133" s="55">
        <v>205256.04442224</v>
      </c>
      <c r="AH133" s="55">
        <v>0</v>
      </c>
      <c r="AI133" s="55">
        <v>0</v>
      </c>
      <c r="AJ133" s="55">
        <v>0</v>
      </c>
      <c r="AK133" s="55">
        <v>15105792.339437099</v>
      </c>
      <c r="AL133" s="55">
        <v>0</v>
      </c>
      <c r="AM133" s="55">
        <v>2953956.3437999999</v>
      </c>
      <c r="AN133" s="63">
        <v>246262.91500000001</v>
      </c>
      <c r="AO133" s="64">
        <v>496783.28516168002</v>
      </c>
      <c r="AP133" s="61">
        <f>+N133-'Приложение №2'!E133</f>
        <v>0</v>
      </c>
      <c r="AQ133" s="1">
        <f>1288619.08-658887.88</f>
        <v>629731.20000000007</v>
      </c>
      <c r="AR133" s="3">
        <f>+(K133*13.29+L133*22.52)*12*0.85</f>
        <v>302792.67119999998</v>
      </c>
      <c r="AS133" s="3">
        <f>+(K133*13.29+L133*22.52)*12*30-8648.871</f>
        <v>10678151.289000001</v>
      </c>
      <c r="AT133" s="6">
        <f t="shared" si="45"/>
        <v>-8860770.8324900605</v>
      </c>
      <c r="AW133" s="62">
        <f t="shared" si="41"/>
        <v>1817380.4565099399</v>
      </c>
      <c r="AX133" s="55"/>
      <c r="AY133" s="55"/>
      <c r="AZ133" s="55">
        <v>707768.48</v>
      </c>
      <c r="BA133" s="55">
        <v>953897.51</v>
      </c>
      <c r="BB133" s="55"/>
      <c r="BC133" s="55"/>
      <c r="BD133" s="55"/>
      <c r="BE133" s="55">
        <v>0</v>
      </c>
      <c r="BF133" s="55">
        <v>0</v>
      </c>
      <c r="BG133" s="55">
        <v>0</v>
      </c>
      <c r="BH133" s="55"/>
      <c r="BI133" s="55">
        <v>0</v>
      </c>
      <c r="BJ133" s="55"/>
      <c r="BK133" s="63"/>
      <c r="BL133" s="64">
        <v>155714.46650993999</v>
      </c>
      <c r="BM133" s="8">
        <f t="shared" si="42"/>
        <v>1817380.4565099399</v>
      </c>
      <c r="BN133" s="55"/>
      <c r="BO133" s="55"/>
      <c r="BP133" s="71">
        <v>707768.48</v>
      </c>
      <c r="BQ133" s="55">
        <v>953897.51</v>
      </c>
      <c r="BR133" s="55"/>
      <c r="BS133" s="55"/>
      <c r="BT133" s="55"/>
      <c r="BU133" s="55">
        <v>0</v>
      </c>
      <c r="BV133" s="55">
        <v>0</v>
      </c>
      <c r="BW133" s="55">
        <v>0</v>
      </c>
      <c r="BX133" s="55"/>
      <c r="BY133" s="55">
        <v>0</v>
      </c>
      <c r="BZ133" s="55"/>
      <c r="CA133" s="63"/>
      <c r="CB133" s="64">
        <v>155714.46650993999</v>
      </c>
    </row>
    <row r="134" spans="1:80" x14ac:dyDescent="0.25">
      <c r="A134" s="52">
        <f t="shared" si="43"/>
        <v>117</v>
      </c>
      <c r="B134" s="53">
        <f t="shared" si="44"/>
        <v>117</v>
      </c>
      <c r="C134" s="53" t="s">
        <v>197</v>
      </c>
      <c r="D134" s="53" t="s">
        <v>198</v>
      </c>
      <c r="E134" s="54">
        <v>1979</v>
      </c>
      <c r="F134" s="54">
        <v>1979</v>
      </c>
      <c r="G134" s="54" t="s">
        <v>64</v>
      </c>
      <c r="H134" s="54">
        <v>4</v>
      </c>
      <c r="I134" s="54">
        <v>6</v>
      </c>
      <c r="J134" s="55">
        <v>3867.8</v>
      </c>
      <c r="K134" s="55">
        <v>3539.7</v>
      </c>
      <c r="L134" s="55">
        <v>0</v>
      </c>
      <c r="M134" s="56">
        <v>193</v>
      </c>
      <c r="N134" s="62">
        <v>9785218.7020976003</v>
      </c>
      <c r="O134" s="55"/>
      <c r="P134" s="63">
        <v>7358449.5099999998</v>
      </c>
      <c r="Q134" s="63"/>
      <c r="R134" s="63"/>
      <c r="S134" s="63">
        <v>2426769.1920976001</v>
      </c>
      <c r="T134" s="55">
        <v>0</v>
      </c>
      <c r="U134" s="63">
        <v>2764.4203469496301</v>
      </c>
      <c r="V134" s="63">
        <v>2764.4203469496301</v>
      </c>
      <c r="W134" s="59">
        <v>2022</v>
      </c>
      <c r="X134" s="6" t="e">
        <v>#REF!</v>
      </c>
      <c r="Z134" s="62">
        <f t="shared" si="46"/>
        <v>36672038.07</v>
      </c>
      <c r="AA134" s="55">
        <v>0</v>
      </c>
      <c r="AB134" s="55">
        <v>0</v>
      </c>
      <c r="AC134" s="55">
        <v>0</v>
      </c>
      <c r="AD134" s="55">
        <v>0</v>
      </c>
      <c r="AE134" s="55">
        <v>0</v>
      </c>
      <c r="AF134" s="55"/>
      <c r="AG134" s="55">
        <v>0</v>
      </c>
      <c r="AH134" s="55">
        <v>0</v>
      </c>
      <c r="AI134" s="55">
        <v>15443839.101902399</v>
      </c>
      <c r="AJ134" s="55">
        <v>0</v>
      </c>
      <c r="AK134" s="55">
        <v>8018512.7549818195</v>
      </c>
      <c r="AL134" s="55">
        <v>8648904.6005779207</v>
      </c>
      <c r="AM134" s="55">
        <v>3491853.0893999999</v>
      </c>
      <c r="AN134" s="63">
        <v>366720.38069999998</v>
      </c>
      <c r="AO134" s="64">
        <v>702208.14243786002</v>
      </c>
      <c r="AP134" s="61">
        <f>+N134-'Приложение №2'!E134</f>
        <v>0</v>
      </c>
      <c r="AQ134" s="1">
        <v>1735682.5</v>
      </c>
      <c r="AR134" s="3">
        <f t="shared" ref="AR134:AR153" si="47">+(K134*10+L134*20)*12*0.85</f>
        <v>361049.39999999997</v>
      </c>
      <c r="AS134" s="3">
        <f>+(K134*10+L134*20)*12*30</f>
        <v>12742920</v>
      </c>
      <c r="AT134" s="6">
        <f t="shared" si="45"/>
        <v>-10316150.807902399</v>
      </c>
      <c r="AW134" s="62">
        <f t="shared" si="41"/>
        <v>9785218.7020976003</v>
      </c>
      <c r="AX134" s="55">
        <v>0</v>
      </c>
      <c r="AY134" s="55">
        <v>0</v>
      </c>
      <c r="AZ134" s="55">
        <v>0</v>
      </c>
      <c r="BA134" s="55">
        <v>0</v>
      </c>
      <c r="BB134" s="55">
        <v>0</v>
      </c>
      <c r="BC134" s="55"/>
      <c r="BD134" s="55"/>
      <c r="BE134" s="55">
        <v>0</v>
      </c>
      <c r="BF134" s="55">
        <v>9447493.2200000007</v>
      </c>
      <c r="BG134" s="55">
        <v>0</v>
      </c>
      <c r="BH134" s="55"/>
      <c r="BI134" s="55"/>
      <c r="BJ134" s="55"/>
      <c r="BK134" s="63"/>
      <c r="BL134" s="64">
        <v>337725.4820976</v>
      </c>
      <c r="BM134" s="8">
        <f t="shared" si="42"/>
        <v>9785218.7020976003</v>
      </c>
      <c r="BN134" s="55">
        <v>0</v>
      </c>
      <c r="BO134" s="55">
        <v>0</v>
      </c>
      <c r="BP134" s="71">
        <v>0</v>
      </c>
      <c r="BQ134" s="55">
        <v>0</v>
      </c>
      <c r="BR134" s="55">
        <v>0</v>
      </c>
      <c r="BS134" s="55"/>
      <c r="BT134" s="55"/>
      <c r="BU134" s="55">
        <v>0</v>
      </c>
      <c r="BV134" s="55">
        <v>9447493.2200000007</v>
      </c>
      <c r="BW134" s="55">
        <v>0</v>
      </c>
      <c r="BX134" s="55"/>
      <c r="BY134" s="55"/>
      <c r="BZ134" s="55"/>
      <c r="CA134" s="63"/>
      <c r="CB134" s="64">
        <v>337725.4820976</v>
      </c>
    </row>
    <row r="135" spans="1:80" x14ac:dyDescent="0.25">
      <c r="A135" s="52">
        <f t="shared" si="43"/>
        <v>118</v>
      </c>
      <c r="B135" s="53">
        <f t="shared" si="44"/>
        <v>118</v>
      </c>
      <c r="C135" s="53" t="s">
        <v>197</v>
      </c>
      <c r="D135" s="53" t="s">
        <v>199</v>
      </c>
      <c r="E135" s="54">
        <v>1966</v>
      </c>
      <c r="F135" s="54">
        <v>1966</v>
      </c>
      <c r="G135" s="54" t="s">
        <v>64</v>
      </c>
      <c r="H135" s="54">
        <v>4</v>
      </c>
      <c r="I135" s="54">
        <v>2</v>
      </c>
      <c r="J135" s="55">
        <v>1327.2</v>
      </c>
      <c r="K135" s="55">
        <v>1234.5999999999999</v>
      </c>
      <c r="L135" s="55">
        <v>0</v>
      </c>
      <c r="M135" s="56">
        <v>61</v>
      </c>
      <c r="N135" s="62">
        <v>459932.97</v>
      </c>
      <c r="O135" s="55"/>
      <c r="P135" s="63">
        <v>226913.39</v>
      </c>
      <c r="Q135" s="63"/>
      <c r="R135" s="63">
        <v>192796.3</v>
      </c>
      <c r="S135" s="63">
        <v>40223.279999999897</v>
      </c>
      <c r="T135" s="55">
        <v>0</v>
      </c>
      <c r="U135" s="63">
        <v>372.53601976348602</v>
      </c>
      <c r="V135" s="63">
        <v>372.53601976348602</v>
      </c>
      <c r="W135" s="59">
        <v>2022</v>
      </c>
      <c r="X135" s="6" t="e">
        <v>#REF!</v>
      </c>
      <c r="Z135" s="62">
        <f t="shared" si="46"/>
        <v>621576.65</v>
      </c>
      <c r="AA135" s="55">
        <v>0</v>
      </c>
      <c r="AB135" s="55">
        <v>0</v>
      </c>
      <c r="AC135" s="55">
        <v>0</v>
      </c>
      <c r="AD135" s="55">
        <v>0</v>
      </c>
      <c r="AE135" s="55">
        <v>419709.68768610002</v>
      </c>
      <c r="AF135" s="55"/>
      <c r="AG135" s="55">
        <v>0</v>
      </c>
      <c r="AH135" s="55">
        <v>0</v>
      </c>
      <c r="AI135" s="55">
        <v>0</v>
      </c>
      <c r="AJ135" s="55">
        <v>0</v>
      </c>
      <c r="AK135" s="55">
        <v>0</v>
      </c>
      <c r="AL135" s="55">
        <v>0</v>
      </c>
      <c r="AM135" s="55">
        <v>186472.995</v>
      </c>
      <c r="AN135" s="63">
        <v>6215.7664999999997</v>
      </c>
      <c r="AO135" s="64">
        <v>9178.2008139000009</v>
      </c>
      <c r="AP135" s="61">
        <f>+N135-'Приложение №2'!E135</f>
        <v>0</v>
      </c>
      <c r="AQ135" s="1">
        <v>512184.69</v>
      </c>
      <c r="AR135" s="3">
        <f t="shared" si="47"/>
        <v>125929.2</v>
      </c>
      <c r="AS135" s="3">
        <f>+(K135*10+L135*20)*12*30</f>
        <v>4444560</v>
      </c>
      <c r="AT135" s="6">
        <f t="shared" si="45"/>
        <v>-4404336.72</v>
      </c>
      <c r="AW135" s="62">
        <f t="shared" si="41"/>
        <v>459932.97</v>
      </c>
      <c r="AX135" s="55">
        <v>0</v>
      </c>
      <c r="AY135" s="55">
        <v>0</v>
      </c>
      <c r="AZ135" s="55">
        <v>0</v>
      </c>
      <c r="BA135" s="55">
        <v>0</v>
      </c>
      <c r="BB135" s="55">
        <v>459932.97</v>
      </c>
      <c r="BC135" s="55"/>
      <c r="BD135" s="55"/>
      <c r="BE135" s="55">
        <v>0</v>
      </c>
      <c r="BF135" s="55">
        <v>0</v>
      </c>
      <c r="BG135" s="55">
        <v>0</v>
      </c>
      <c r="BH135" s="55">
        <v>0</v>
      </c>
      <c r="BI135" s="55">
        <v>0</v>
      </c>
      <c r="BJ135" s="55"/>
      <c r="BK135" s="63"/>
      <c r="BL135" s="64"/>
      <c r="BM135" s="8">
        <f t="shared" si="42"/>
        <v>459932.97</v>
      </c>
      <c r="BN135" s="55">
        <v>0</v>
      </c>
      <c r="BO135" s="55">
        <v>0</v>
      </c>
      <c r="BP135" s="71">
        <v>0</v>
      </c>
      <c r="BQ135" s="55">
        <v>0</v>
      </c>
      <c r="BR135" s="55">
        <v>459932.97</v>
      </c>
      <c r="BS135" s="55"/>
      <c r="BT135" s="55"/>
      <c r="BU135" s="55">
        <v>0</v>
      </c>
      <c r="BV135" s="55">
        <v>0</v>
      </c>
      <c r="BW135" s="55">
        <v>0</v>
      </c>
      <c r="BX135" s="55">
        <v>0</v>
      </c>
      <c r="BY135" s="55">
        <v>0</v>
      </c>
      <c r="BZ135" s="55"/>
      <c r="CA135" s="63"/>
      <c r="CB135" s="64"/>
    </row>
    <row r="136" spans="1:80" ht="14.25" customHeight="1" x14ac:dyDescent="0.25">
      <c r="A136" s="52">
        <f t="shared" si="43"/>
        <v>119</v>
      </c>
      <c r="B136" s="53">
        <f t="shared" si="44"/>
        <v>119</v>
      </c>
      <c r="C136" s="53" t="s">
        <v>197</v>
      </c>
      <c r="D136" s="53" t="s">
        <v>200</v>
      </c>
      <c r="E136" s="54">
        <v>1969</v>
      </c>
      <c r="F136" s="54">
        <v>2013</v>
      </c>
      <c r="G136" s="54" t="s">
        <v>64</v>
      </c>
      <c r="H136" s="54">
        <v>4</v>
      </c>
      <c r="I136" s="54">
        <v>4</v>
      </c>
      <c r="J136" s="55">
        <v>3016.9</v>
      </c>
      <c r="K136" s="55">
        <v>2778.3</v>
      </c>
      <c r="L136" s="55">
        <v>0</v>
      </c>
      <c r="M136" s="56">
        <v>148</v>
      </c>
      <c r="N136" s="57">
        <v>7411233.77561446</v>
      </c>
      <c r="O136" s="55"/>
      <c r="P136" s="63">
        <v>1196060.52</v>
      </c>
      <c r="Q136" s="63"/>
      <c r="R136" s="63">
        <v>847797.2</v>
      </c>
      <c r="S136" s="63">
        <v>2164833.5299999998</v>
      </c>
      <c r="T136" s="63">
        <v>3202542.52561446</v>
      </c>
      <c r="U136" s="55">
        <v>2667.5426612009001</v>
      </c>
      <c r="V136" s="55">
        <v>2667.5426612009001</v>
      </c>
      <c r="W136" s="59">
        <v>2022</v>
      </c>
      <c r="X136" s="6" t="e">
        <v>#REF!</v>
      </c>
      <c r="Y136" s="1" t="s">
        <v>201</v>
      </c>
      <c r="Z136" s="62">
        <f t="shared" si="46"/>
        <v>43468971.050000004</v>
      </c>
      <c r="AA136" s="55">
        <v>6634698.5656060204</v>
      </c>
      <c r="AB136" s="55">
        <v>2364215.8595970599</v>
      </c>
      <c r="AC136" s="55">
        <v>2470079.5170193799</v>
      </c>
      <c r="AD136" s="55">
        <v>0</v>
      </c>
      <c r="AE136" s="55">
        <v>946159.85291436</v>
      </c>
      <c r="AF136" s="55"/>
      <c r="AG136" s="55">
        <v>254591.55199296001</v>
      </c>
      <c r="AH136" s="55">
        <v>0</v>
      </c>
      <c r="AI136" s="55">
        <v>12129238.4675742</v>
      </c>
      <c r="AJ136" s="55">
        <v>0</v>
      </c>
      <c r="AK136" s="55">
        <v>6297556.7640778804</v>
      </c>
      <c r="AL136" s="55">
        <v>6792652.1243855404</v>
      </c>
      <c r="AM136" s="55">
        <v>4316528.7304999996</v>
      </c>
      <c r="AN136" s="63">
        <v>434689.71049999999</v>
      </c>
      <c r="AO136" s="64">
        <v>828559.90583259996</v>
      </c>
      <c r="AP136" s="61">
        <f>+N136-'Приложение №2'!E136</f>
        <v>0</v>
      </c>
      <c r="AQ136" s="1">
        <f>1200544.79-636134.19</f>
        <v>564410.60000000009</v>
      </c>
      <c r="AR136" s="3">
        <f t="shared" si="47"/>
        <v>283386.59999999998</v>
      </c>
      <c r="AS136" s="3">
        <f>+(K136*10+L136*20)*12*30-7837046.47</f>
        <v>2164833.5300000003</v>
      </c>
      <c r="AT136" s="6">
        <f t="shared" si="45"/>
        <v>0</v>
      </c>
      <c r="AW136" s="62">
        <f t="shared" si="41"/>
        <v>7411233.7756144591</v>
      </c>
      <c r="AX136" s="55"/>
      <c r="AY136" s="55"/>
      <c r="AZ136" s="55"/>
      <c r="BA136" s="55"/>
      <c r="BB136" s="55"/>
      <c r="BC136" s="55"/>
      <c r="BD136" s="55"/>
      <c r="BE136" s="55"/>
      <c r="BF136" s="55"/>
      <c r="BG136" s="55"/>
      <c r="BH136" s="55"/>
      <c r="BI136" s="55">
        <v>6404791.8899999997</v>
      </c>
      <c r="BJ136" s="55">
        <v>779909.40099999995</v>
      </c>
      <c r="BK136" s="63">
        <v>77990.940100000007</v>
      </c>
      <c r="BL136" s="64">
        <v>148541.54451445999</v>
      </c>
      <c r="BM136" s="8">
        <f t="shared" si="42"/>
        <v>7411233.7756144591</v>
      </c>
      <c r="BN136" s="55"/>
      <c r="BO136" s="55"/>
      <c r="BP136" s="71"/>
      <c r="BQ136" s="55"/>
      <c r="BR136" s="55"/>
      <c r="BS136" s="55"/>
      <c r="BT136" s="55"/>
      <c r="BU136" s="55"/>
      <c r="BV136" s="55"/>
      <c r="BW136" s="55"/>
      <c r="BX136" s="55"/>
      <c r="BY136" s="55">
        <v>6404791.8899999997</v>
      </c>
      <c r="BZ136" s="55">
        <v>779909.40099999995</v>
      </c>
      <c r="CA136" s="63">
        <v>77990.940100000007</v>
      </c>
      <c r="CB136" s="64">
        <v>148541.54451445999</v>
      </c>
    </row>
    <row r="137" spans="1:80" x14ac:dyDescent="0.25">
      <c r="A137" s="52">
        <f t="shared" si="43"/>
        <v>120</v>
      </c>
      <c r="B137" s="53">
        <f t="shared" si="44"/>
        <v>120</v>
      </c>
      <c r="C137" s="53" t="s">
        <v>197</v>
      </c>
      <c r="D137" s="53" t="s">
        <v>202</v>
      </c>
      <c r="E137" s="54">
        <v>1971</v>
      </c>
      <c r="F137" s="54">
        <v>1971</v>
      </c>
      <c r="G137" s="54" t="s">
        <v>64</v>
      </c>
      <c r="H137" s="54">
        <v>4</v>
      </c>
      <c r="I137" s="54">
        <v>4</v>
      </c>
      <c r="J137" s="55">
        <v>2851.3</v>
      </c>
      <c r="K137" s="55">
        <v>2629.3</v>
      </c>
      <c r="L137" s="55">
        <v>0</v>
      </c>
      <c r="M137" s="56">
        <v>126</v>
      </c>
      <c r="N137" s="62">
        <v>1318598.3729000001</v>
      </c>
      <c r="O137" s="55"/>
      <c r="P137" s="63"/>
      <c r="Q137" s="63"/>
      <c r="R137" s="63">
        <v>1318598.3729000001</v>
      </c>
      <c r="S137" s="63">
        <v>0</v>
      </c>
      <c r="T137" s="55">
        <v>0</v>
      </c>
      <c r="U137" s="63">
        <v>501.50168215874902</v>
      </c>
      <c r="V137" s="63">
        <v>501.50168215874902</v>
      </c>
      <c r="W137" s="59">
        <v>2022</v>
      </c>
      <c r="X137" s="6" t="e">
        <v>#REF!</v>
      </c>
      <c r="Z137" s="62">
        <f t="shared" si="46"/>
        <v>6580564.0300000003</v>
      </c>
      <c r="AA137" s="55">
        <v>0</v>
      </c>
      <c r="AB137" s="55">
        <v>2237961.00035928</v>
      </c>
      <c r="AC137" s="55">
        <v>2338171.2866580598</v>
      </c>
      <c r="AD137" s="55">
        <v>0</v>
      </c>
      <c r="AE137" s="55">
        <v>895632.61937688</v>
      </c>
      <c r="AF137" s="55"/>
      <c r="AG137" s="55">
        <v>0</v>
      </c>
      <c r="AH137" s="55">
        <v>0</v>
      </c>
      <c r="AI137" s="55">
        <v>0</v>
      </c>
      <c r="AJ137" s="55">
        <v>0</v>
      </c>
      <c r="AK137" s="55">
        <v>0</v>
      </c>
      <c r="AL137" s="55">
        <v>0</v>
      </c>
      <c r="AM137" s="55">
        <v>923337.06700000004</v>
      </c>
      <c r="AN137" s="63">
        <v>65805.640299999999</v>
      </c>
      <c r="AO137" s="64">
        <v>119656.41630578</v>
      </c>
      <c r="AP137" s="61">
        <f>+N137-'Приложение №2'!E137</f>
        <v>0</v>
      </c>
      <c r="AQ137" s="1">
        <v>1216435.44</v>
      </c>
      <c r="AR137" s="3">
        <f t="shared" si="47"/>
        <v>268188.59999999998</v>
      </c>
      <c r="AS137" s="3">
        <f>+(K137*10+L137*20)*12*30</f>
        <v>9465480</v>
      </c>
      <c r="AT137" s="6">
        <f t="shared" si="45"/>
        <v>-9465480</v>
      </c>
      <c r="AW137" s="62">
        <f t="shared" si="41"/>
        <v>1318598.3729000001</v>
      </c>
      <c r="AX137" s="55">
        <v>0</v>
      </c>
      <c r="AY137" s="55"/>
      <c r="AZ137" s="55">
        <v>1005861.31</v>
      </c>
      <c r="BA137" s="55">
        <v>0</v>
      </c>
      <c r="BB137" s="55"/>
      <c r="BC137" s="55"/>
      <c r="BD137" s="55"/>
      <c r="BE137" s="55">
        <v>0</v>
      </c>
      <c r="BF137" s="55">
        <v>0</v>
      </c>
      <c r="BG137" s="55">
        <v>0</v>
      </c>
      <c r="BH137" s="55">
        <v>0</v>
      </c>
      <c r="BI137" s="55">
        <v>0</v>
      </c>
      <c r="BJ137" s="55">
        <v>268460.93900000001</v>
      </c>
      <c r="BK137" s="63">
        <v>26846.0939</v>
      </c>
      <c r="BL137" s="64">
        <v>17430.03</v>
      </c>
      <c r="BM137" s="8">
        <f t="shared" si="42"/>
        <v>1318598.3729000001</v>
      </c>
      <c r="BN137" s="55">
        <v>0</v>
      </c>
      <c r="BO137" s="55"/>
      <c r="BP137" s="71">
        <v>1005861.31</v>
      </c>
      <c r="BQ137" s="55">
        <v>0</v>
      </c>
      <c r="BR137" s="55"/>
      <c r="BS137" s="55"/>
      <c r="BT137" s="55"/>
      <c r="BU137" s="55">
        <v>0</v>
      </c>
      <c r="BV137" s="55">
        <v>0</v>
      </c>
      <c r="BW137" s="55">
        <v>0</v>
      </c>
      <c r="BX137" s="55">
        <v>0</v>
      </c>
      <c r="BY137" s="55">
        <v>0</v>
      </c>
      <c r="BZ137" s="55">
        <v>268460.93900000001</v>
      </c>
      <c r="CA137" s="63">
        <v>26846.0939</v>
      </c>
      <c r="CB137" s="64">
        <v>17430.03</v>
      </c>
    </row>
    <row r="138" spans="1:80" x14ac:dyDescent="0.25">
      <c r="A138" s="52">
        <f t="shared" si="43"/>
        <v>121</v>
      </c>
      <c r="B138" s="53">
        <f t="shared" si="44"/>
        <v>121</v>
      </c>
      <c r="C138" s="53" t="s">
        <v>197</v>
      </c>
      <c r="D138" s="53" t="s">
        <v>203</v>
      </c>
      <c r="E138" s="54">
        <v>1962</v>
      </c>
      <c r="F138" s="54">
        <v>1962</v>
      </c>
      <c r="G138" s="54" t="s">
        <v>64</v>
      </c>
      <c r="H138" s="54">
        <v>2</v>
      </c>
      <c r="I138" s="54">
        <v>1</v>
      </c>
      <c r="J138" s="55">
        <v>618.70000000000005</v>
      </c>
      <c r="K138" s="55">
        <v>460.5</v>
      </c>
      <c r="L138" s="55">
        <v>0</v>
      </c>
      <c r="M138" s="56">
        <v>45</v>
      </c>
      <c r="N138" s="57">
        <v>2497571.4777621999</v>
      </c>
      <c r="O138" s="55"/>
      <c r="P138" s="55">
        <v>705615.64</v>
      </c>
      <c r="Q138" s="63"/>
      <c r="R138" s="63">
        <v>252901.75</v>
      </c>
      <c r="S138" s="63">
        <v>1539054.0877622</v>
      </c>
      <c r="T138" s="63">
        <v>0</v>
      </c>
      <c r="U138" s="55">
        <v>5423.6079864542899</v>
      </c>
      <c r="V138" s="55">
        <v>5423.6079864542899</v>
      </c>
      <c r="W138" s="59">
        <v>2022</v>
      </c>
      <c r="X138" s="6" t="e">
        <v>#REF!</v>
      </c>
      <c r="Z138" s="62">
        <f t="shared" si="46"/>
        <v>6521557.4500000011</v>
      </c>
      <c r="AA138" s="55">
        <v>0</v>
      </c>
      <c r="AB138" s="55">
        <v>875995.49980991997</v>
      </c>
      <c r="AC138" s="55">
        <v>411337.83054588002</v>
      </c>
      <c r="AD138" s="55">
        <v>350714.74954488</v>
      </c>
      <c r="AE138" s="55">
        <v>0</v>
      </c>
      <c r="AF138" s="55"/>
      <c r="AG138" s="55">
        <v>0</v>
      </c>
      <c r="AH138" s="55">
        <v>0</v>
      </c>
      <c r="AI138" s="55">
        <v>4074971.6952378</v>
      </c>
      <c r="AJ138" s="55">
        <v>0</v>
      </c>
      <c r="AK138" s="55">
        <v>0</v>
      </c>
      <c r="AL138" s="55">
        <v>0</v>
      </c>
      <c r="AM138" s="55">
        <v>618389.92870000005</v>
      </c>
      <c r="AN138" s="63">
        <v>65215.574500000002</v>
      </c>
      <c r="AO138" s="64">
        <v>124932.17166152</v>
      </c>
      <c r="AP138" s="61">
        <f>+N138-'Приложение №2'!E138</f>
        <v>0</v>
      </c>
      <c r="AQ138" s="1">
        <v>205930.75</v>
      </c>
      <c r="AR138" s="3">
        <f t="shared" si="47"/>
        <v>46971</v>
      </c>
      <c r="AS138" s="3">
        <f>+(K138*10+L138*20)*12*30-133800.13</f>
        <v>1523999.87</v>
      </c>
      <c r="AT138" s="6">
        <f t="shared" si="45"/>
        <v>15054.217762199929</v>
      </c>
      <c r="AU138" s="6" t="e">
        <v>#REF!</v>
      </c>
      <c r="AV138" s="6" t="e">
        <v>#REF!</v>
      </c>
      <c r="AW138" s="62">
        <f t="shared" si="41"/>
        <v>2497571.4777621999</v>
      </c>
      <c r="AX138" s="55">
        <v>0</v>
      </c>
      <c r="AY138" s="55"/>
      <c r="AZ138" s="55"/>
      <c r="BA138" s="55"/>
      <c r="BB138" s="55">
        <v>0</v>
      </c>
      <c r="BC138" s="55"/>
      <c r="BD138" s="55"/>
      <c r="BE138" s="55">
        <v>0</v>
      </c>
      <c r="BF138" s="55">
        <v>2408460.1</v>
      </c>
      <c r="BG138" s="55">
        <v>0</v>
      </c>
      <c r="BH138" s="55">
        <v>0</v>
      </c>
      <c r="BI138" s="55">
        <v>0</v>
      </c>
      <c r="BJ138" s="55"/>
      <c r="BK138" s="63"/>
      <c r="BL138" s="64">
        <v>89111.377762200005</v>
      </c>
      <c r="BM138" s="8">
        <f t="shared" si="42"/>
        <v>2497571.4777621999</v>
      </c>
      <c r="BN138" s="55">
        <v>0</v>
      </c>
      <c r="BO138" s="55"/>
      <c r="BP138" s="71"/>
      <c r="BQ138" s="55"/>
      <c r="BR138" s="55">
        <v>0</v>
      </c>
      <c r="BS138" s="55"/>
      <c r="BT138" s="55"/>
      <c r="BU138" s="55">
        <v>0</v>
      </c>
      <c r="BV138" s="55">
        <v>2408460.1</v>
      </c>
      <c r="BW138" s="55">
        <v>0</v>
      </c>
      <c r="BX138" s="55">
        <v>0</v>
      </c>
      <c r="BY138" s="55">
        <v>0</v>
      </c>
      <c r="BZ138" s="55"/>
      <c r="CA138" s="63"/>
      <c r="CB138" s="64">
        <v>89111.377762200005</v>
      </c>
    </row>
    <row r="139" spans="1:80" x14ac:dyDescent="0.25">
      <c r="A139" s="52">
        <f t="shared" si="43"/>
        <v>122</v>
      </c>
      <c r="B139" s="53">
        <f t="shared" si="44"/>
        <v>122</v>
      </c>
      <c r="C139" s="53" t="s">
        <v>204</v>
      </c>
      <c r="D139" s="53" t="s">
        <v>205</v>
      </c>
      <c r="E139" s="54">
        <v>1983</v>
      </c>
      <c r="F139" s="54">
        <v>1983</v>
      </c>
      <c r="G139" s="54" t="s">
        <v>64</v>
      </c>
      <c r="H139" s="54">
        <v>2</v>
      </c>
      <c r="I139" s="54">
        <v>2</v>
      </c>
      <c r="J139" s="55">
        <v>910.77</v>
      </c>
      <c r="K139" s="55">
        <v>841.26</v>
      </c>
      <c r="L139" s="55">
        <v>0</v>
      </c>
      <c r="M139" s="56">
        <v>34</v>
      </c>
      <c r="N139" s="62">
        <v>977997.34184701997</v>
      </c>
      <c r="O139" s="55"/>
      <c r="P139" s="7"/>
      <c r="Q139" s="63"/>
      <c r="R139" s="63">
        <v>393318.14</v>
      </c>
      <c r="S139" s="63">
        <v>584679.20184701995</v>
      </c>
      <c r="T139" s="55">
        <v>0</v>
      </c>
      <c r="U139" s="63">
        <v>1162.53874170532</v>
      </c>
      <c r="V139" s="63">
        <v>1162.53874170532</v>
      </c>
      <c r="W139" s="59">
        <v>2022</v>
      </c>
      <c r="X139" s="6" t="e">
        <v>#REF!</v>
      </c>
      <c r="Z139" s="62">
        <f t="shared" si="46"/>
        <v>6295969.4100000001</v>
      </c>
      <c r="AA139" s="55">
        <v>2467129.6784152202</v>
      </c>
      <c r="AB139" s="55">
        <v>1501213.4170404</v>
      </c>
      <c r="AC139" s="55">
        <v>707372.31680261996</v>
      </c>
      <c r="AD139" s="55">
        <v>602841.43419444002</v>
      </c>
      <c r="AE139" s="55">
        <v>0</v>
      </c>
      <c r="AF139" s="55"/>
      <c r="AG139" s="55">
        <v>262217.35903776</v>
      </c>
      <c r="AH139" s="55">
        <v>0</v>
      </c>
      <c r="AI139" s="55">
        <v>0</v>
      </c>
      <c r="AJ139" s="55">
        <v>0</v>
      </c>
      <c r="AK139" s="55">
        <v>0</v>
      </c>
      <c r="AL139" s="55">
        <v>0</v>
      </c>
      <c r="AM139" s="55">
        <v>571070.00049999997</v>
      </c>
      <c r="AN139" s="63">
        <v>62959.694100000001</v>
      </c>
      <c r="AO139" s="64">
        <v>121165.50990956</v>
      </c>
      <c r="AP139" s="61">
        <f>+N139-'Приложение №2'!E139</f>
        <v>0</v>
      </c>
      <c r="AQ139" s="1">
        <f>380898.3-73388.68</f>
        <v>307509.62</v>
      </c>
      <c r="AR139" s="3">
        <f t="shared" si="47"/>
        <v>85808.52</v>
      </c>
      <c r="AS139" s="3">
        <f>+(K139*10+L139*20)*12*30-439562.52</f>
        <v>2588973.4800000004</v>
      </c>
      <c r="AT139" s="6">
        <f t="shared" si="45"/>
        <v>-2004294.2781529804</v>
      </c>
      <c r="AW139" s="62">
        <f t="shared" si="41"/>
        <v>977997.34184702008</v>
      </c>
      <c r="AX139" s="55">
        <v>918312.05</v>
      </c>
      <c r="AY139" s="55"/>
      <c r="AZ139" s="55"/>
      <c r="BA139" s="55"/>
      <c r="BB139" s="55">
        <v>0</v>
      </c>
      <c r="BC139" s="55"/>
      <c r="BD139" s="55"/>
      <c r="BE139" s="55">
        <v>0</v>
      </c>
      <c r="BF139" s="55">
        <v>0</v>
      </c>
      <c r="BG139" s="55">
        <v>0</v>
      </c>
      <c r="BH139" s="55">
        <v>0</v>
      </c>
      <c r="BI139" s="55">
        <v>0</v>
      </c>
      <c r="BJ139" s="55"/>
      <c r="BK139" s="63"/>
      <c r="BL139" s="64">
        <v>59685.291847020002</v>
      </c>
      <c r="BM139" s="8">
        <f t="shared" si="42"/>
        <v>977997.34184702008</v>
      </c>
      <c r="BN139" s="55">
        <v>918312.05</v>
      </c>
      <c r="BO139" s="55"/>
      <c r="BP139" s="71"/>
      <c r="BQ139" s="55"/>
      <c r="BR139" s="55">
        <v>0</v>
      </c>
      <c r="BS139" s="55"/>
      <c r="BT139" s="55"/>
      <c r="BU139" s="55">
        <v>0</v>
      </c>
      <c r="BV139" s="55">
        <v>0</v>
      </c>
      <c r="BW139" s="55">
        <v>0</v>
      </c>
      <c r="BX139" s="55">
        <v>0</v>
      </c>
      <c r="BY139" s="55">
        <v>0</v>
      </c>
      <c r="BZ139" s="55"/>
      <c r="CA139" s="63"/>
      <c r="CB139" s="64">
        <v>59685.291847020002</v>
      </c>
    </row>
    <row r="140" spans="1:80" x14ac:dyDescent="0.25">
      <c r="A140" s="52">
        <f t="shared" si="43"/>
        <v>123</v>
      </c>
      <c r="B140" s="53">
        <f t="shared" si="44"/>
        <v>123</v>
      </c>
      <c r="C140" s="53" t="s">
        <v>206</v>
      </c>
      <c r="D140" s="53" t="s">
        <v>207</v>
      </c>
      <c r="E140" s="54">
        <v>1976</v>
      </c>
      <c r="F140" s="54">
        <v>2008</v>
      </c>
      <c r="G140" s="54" t="s">
        <v>64</v>
      </c>
      <c r="H140" s="54">
        <v>4</v>
      </c>
      <c r="I140" s="54">
        <v>4</v>
      </c>
      <c r="J140" s="55">
        <v>4257.32</v>
      </c>
      <c r="K140" s="55">
        <v>3128.38</v>
      </c>
      <c r="L140" s="55">
        <v>991.08</v>
      </c>
      <c r="M140" s="56">
        <v>124</v>
      </c>
      <c r="N140" s="62">
        <v>5475068.96438374</v>
      </c>
      <c r="O140" s="55"/>
      <c r="P140" s="63"/>
      <c r="Q140" s="63"/>
      <c r="R140" s="63">
        <v>1333462.67</v>
      </c>
      <c r="S140" s="63">
        <v>4141606.2943837401</v>
      </c>
      <c r="T140" s="55">
        <v>0</v>
      </c>
      <c r="U140" s="63">
        <v>1329.07443314991</v>
      </c>
      <c r="V140" s="63">
        <v>1329.07443314991</v>
      </c>
      <c r="W140" s="59">
        <v>2022</v>
      </c>
      <c r="X140" s="6" t="e">
        <v>#REF!</v>
      </c>
      <c r="Z140" s="62">
        <f t="shared" si="46"/>
        <v>16411728.57</v>
      </c>
      <c r="AA140" s="55">
        <v>7185234.1705489801</v>
      </c>
      <c r="AB140" s="55">
        <v>2542217.2836664799</v>
      </c>
      <c r="AC140" s="55">
        <v>0</v>
      </c>
      <c r="AD140" s="55">
        <v>1662855.463857</v>
      </c>
      <c r="AE140" s="55">
        <v>2127796.9824119401</v>
      </c>
      <c r="AF140" s="55"/>
      <c r="AG140" s="55">
        <v>285097.02429768001</v>
      </c>
      <c r="AH140" s="55">
        <v>0</v>
      </c>
      <c r="AI140" s="55">
        <v>0</v>
      </c>
      <c r="AJ140" s="55">
        <v>0</v>
      </c>
      <c r="AK140" s="55">
        <v>0</v>
      </c>
      <c r="AL140" s="55">
        <v>0</v>
      </c>
      <c r="AM140" s="55">
        <v>2142562.3114999998</v>
      </c>
      <c r="AN140" s="63">
        <v>164117.28570000001</v>
      </c>
      <c r="AO140" s="64">
        <v>301848.04801791999</v>
      </c>
      <c r="AP140" s="61">
        <f>+N140-'Приложение №2'!E140</f>
        <v>0</v>
      </c>
      <c r="AQ140" s="1">
        <f>1377282.4-565094.81</f>
        <v>812187.58999999985</v>
      </c>
      <c r="AR140" s="3">
        <f t="shared" si="47"/>
        <v>521275.08</v>
      </c>
      <c r="AS140" s="3">
        <f>+(K140*10+L140*20)*12*30-180969.62</f>
        <v>18216974.379999999</v>
      </c>
      <c r="AT140" s="6">
        <f t="shared" si="45"/>
        <v>-14075368.085616259</v>
      </c>
      <c r="AW140" s="62">
        <f t="shared" si="41"/>
        <v>5475068.96438374</v>
      </c>
      <c r="AX140" s="55"/>
      <c r="AY140" s="55"/>
      <c r="AZ140" s="55">
        <v>0</v>
      </c>
      <c r="BA140" s="55"/>
      <c r="BB140" s="55"/>
      <c r="BC140" s="55"/>
      <c r="BD140" s="55"/>
      <c r="BE140" s="55">
        <v>0</v>
      </c>
      <c r="BF140" s="55">
        <v>0</v>
      </c>
      <c r="BH140" s="55">
        <v>0</v>
      </c>
      <c r="BI140" s="55">
        <v>3924912.66</v>
      </c>
      <c r="BJ140" s="55">
        <v>1200305.659</v>
      </c>
      <c r="BK140" s="63">
        <v>108232.6369</v>
      </c>
      <c r="BL140" s="64">
        <v>241618.00848374001</v>
      </c>
      <c r="BM140" s="8">
        <f t="shared" si="42"/>
        <v>5475068.96438374</v>
      </c>
      <c r="BN140" s="55"/>
      <c r="BO140" s="55"/>
      <c r="BP140" s="71">
        <v>0</v>
      </c>
      <c r="BQ140" s="55"/>
      <c r="BR140" s="55"/>
      <c r="BS140" s="55"/>
      <c r="BT140" s="55"/>
      <c r="BU140" s="55">
        <v>0</v>
      </c>
      <c r="BV140" s="55">
        <v>0</v>
      </c>
      <c r="BX140" s="55">
        <v>0</v>
      </c>
      <c r="BY140" s="55">
        <v>3924912.66</v>
      </c>
      <c r="BZ140" s="55">
        <v>1200305.659</v>
      </c>
      <c r="CA140" s="63">
        <v>108232.6369</v>
      </c>
      <c r="CB140" s="64">
        <v>241618.00848374001</v>
      </c>
    </row>
    <row r="141" spans="1:80" x14ac:dyDescent="0.25">
      <c r="A141" s="52">
        <f t="shared" si="43"/>
        <v>124</v>
      </c>
      <c r="B141" s="53">
        <f t="shared" si="44"/>
        <v>124</v>
      </c>
      <c r="C141" s="53" t="s">
        <v>206</v>
      </c>
      <c r="D141" s="53" t="s">
        <v>208</v>
      </c>
      <c r="E141" s="54">
        <v>1964</v>
      </c>
      <c r="F141" s="54">
        <v>1964</v>
      </c>
      <c r="G141" s="54" t="s">
        <v>64</v>
      </c>
      <c r="H141" s="54">
        <v>2</v>
      </c>
      <c r="I141" s="54">
        <v>2</v>
      </c>
      <c r="J141" s="55">
        <v>816.77</v>
      </c>
      <c r="K141" s="55">
        <v>598.04999999999995</v>
      </c>
      <c r="L141" s="55">
        <v>218.72</v>
      </c>
      <c r="M141" s="56">
        <v>23</v>
      </c>
      <c r="N141" s="62">
        <v>5269327.2909559999</v>
      </c>
      <c r="O141" s="55"/>
      <c r="P141" s="7"/>
      <c r="Q141" s="63"/>
      <c r="R141" s="63">
        <v>229835.72</v>
      </c>
      <c r="S141" s="63">
        <v>3698306.28</v>
      </c>
      <c r="T141" s="55">
        <v>1341185.2909560001</v>
      </c>
      <c r="U141" s="63">
        <v>6451.4211968559102</v>
      </c>
      <c r="V141" s="63">
        <v>6451.4211968559102</v>
      </c>
      <c r="W141" s="59">
        <v>2022</v>
      </c>
      <c r="X141" s="6" t="e">
        <v>#REF!</v>
      </c>
      <c r="Z141" s="62">
        <f t="shared" si="46"/>
        <v>6301561.3699999992</v>
      </c>
      <c r="AA141" s="55">
        <v>0</v>
      </c>
      <c r="AB141" s="55">
        <v>0</v>
      </c>
      <c r="AC141" s="55">
        <v>499972.95528431999</v>
      </c>
      <c r="AD141" s="55">
        <v>0</v>
      </c>
      <c r="AE141" s="55">
        <v>0</v>
      </c>
      <c r="AF141" s="55"/>
      <c r="AG141" s="55">
        <v>0</v>
      </c>
      <c r="AH141" s="55">
        <v>0</v>
      </c>
      <c r="AI141" s="55">
        <v>5044446.5320746005</v>
      </c>
      <c r="AJ141" s="55">
        <v>0</v>
      </c>
      <c r="AK141" s="55">
        <v>0</v>
      </c>
      <c r="AL141" s="55">
        <v>0</v>
      </c>
      <c r="AM141" s="55">
        <v>572881.04410000006</v>
      </c>
      <c r="AN141" s="63">
        <v>63015.613700000002</v>
      </c>
      <c r="AO141" s="64">
        <v>121245.22484107999</v>
      </c>
      <c r="AP141" s="61">
        <f>+N141-'Приложение №2'!E141</f>
        <v>0</v>
      </c>
      <c r="AQ141" s="1">
        <f>223283.02-99067.28</f>
        <v>124215.73999999999</v>
      </c>
      <c r="AR141" s="3">
        <f t="shared" si="47"/>
        <v>105619.97999999998</v>
      </c>
      <c r="AS141" s="3">
        <f>+(K141*10+L141*20)*12*30-29457.72</f>
        <v>3698306.2799999993</v>
      </c>
      <c r="AT141" s="6">
        <f t="shared" si="45"/>
        <v>0</v>
      </c>
      <c r="AW141" s="62">
        <f t="shared" si="41"/>
        <v>5269327.2909560008</v>
      </c>
      <c r="AX141" s="55">
        <v>0</v>
      </c>
      <c r="AY141" s="55"/>
      <c r="AZ141" s="55"/>
      <c r="BA141" s="55"/>
      <c r="BB141" s="55">
        <v>0</v>
      </c>
      <c r="BC141" s="55"/>
      <c r="BD141" s="55"/>
      <c r="BE141" s="55">
        <v>0</v>
      </c>
      <c r="BF141" s="55">
        <v>4903240.6500000004</v>
      </c>
      <c r="BG141" s="55">
        <v>0</v>
      </c>
      <c r="BH141" s="55">
        <v>0</v>
      </c>
      <c r="BI141" s="55">
        <v>0</v>
      </c>
      <c r="BJ141" s="55">
        <v>229623.17</v>
      </c>
      <c r="BK141" s="63">
        <v>6666.66</v>
      </c>
      <c r="BL141" s="64">
        <v>129796.810956</v>
      </c>
      <c r="BM141" s="8">
        <f t="shared" si="42"/>
        <v>5269327.2909560008</v>
      </c>
      <c r="BN141" s="55">
        <v>0</v>
      </c>
      <c r="BO141" s="55"/>
      <c r="BP141" s="71"/>
      <c r="BQ141" s="55"/>
      <c r="BR141" s="55">
        <v>0</v>
      </c>
      <c r="BS141" s="55"/>
      <c r="BT141" s="55"/>
      <c r="BU141" s="55">
        <v>0</v>
      </c>
      <c r="BV141" s="55">
        <v>4903240.6500000004</v>
      </c>
      <c r="BW141" s="55">
        <v>0</v>
      </c>
      <c r="BX141" s="55">
        <v>0</v>
      </c>
      <c r="BY141" s="55">
        <v>0</v>
      </c>
      <c r="BZ141" s="55">
        <v>229623.17</v>
      </c>
      <c r="CA141" s="63">
        <v>6666.66</v>
      </c>
      <c r="CB141" s="64">
        <v>129796.810956</v>
      </c>
    </row>
    <row r="142" spans="1:80" x14ac:dyDescent="0.25">
      <c r="A142" s="52">
        <f t="shared" si="43"/>
        <v>125</v>
      </c>
      <c r="B142" s="53">
        <f t="shared" si="44"/>
        <v>125</v>
      </c>
      <c r="C142" s="53" t="s">
        <v>206</v>
      </c>
      <c r="D142" s="53" t="s">
        <v>209</v>
      </c>
      <c r="E142" s="54">
        <v>1975</v>
      </c>
      <c r="F142" s="54">
        <v>2008</v>
      </c>
      <c r="G142" s="54" t="s">
        <v>64</v>
      </c>
      <c r="H142" s="54">
        <v>4</v>
      </c>
      <c r="I142" s="54">
        <v>4</v>
      </c>
      <c r="J142" s="55">
        <v>4182.96</v>
      </c>
      <c r="K142" s="55">
        <v>3048.03</v>
      </c>
      <c r="L142" s="55">
        <v>978.37</v>
      </c>
      <c r="M142" s="56">
        <v>135</v>
      </c>
      <c r="N142" s="62">
        <v>5224437.8286898201</v>
      </c>
      <c r="O142" s="55"/>
      <c r="P142" s="63"/>
      <c r="Q142" s="63"/>
      <c r="R142" s="63">
        <v>1566212.36</v>
      </c>
      <c r="S142" s="63">
        <v>3658225.4686898198</v>
      </c>
      <c r="T142" s="55">
        <v>0</v>
      </c>
      <c r="U142" s="63">
        <v>1297.54565584389</v>
      </c>
      <c r="V142" s="63">
        <v>1297.54565584389</v>
      </c>
      <c r="W142" s="59">
        <v>2022</v>
      </c>
      <c r="X142" s="6" t="e">
        <v>#REF!</v>
      </c>
      <c r="Z142" s="62">
        <f t="shared" si="46"/>
        <v>16048675.259999998</v>
      </c>
      <c r="AA142" s="55">
        <v>7026285.4671664201</v>
      </c>
      <c r="AB142" s="55">
        <v>2485979.4267953401</v>
      </c>
      <c r="AC142" s="55">
        <v>0</v>
      </c>
      <c r="AD142" s="55">
        <v>1626070.4809314001</v>
      </c>
      <c r="AE142" s="55">
        <v>2080726.7578889399</v>
      </c>
      <c r="AF142" s="55"/>
      <c r="AG142" s="55">
        <v>278790.22600296</v>
      </c>
      <c r="AH142" s="55">
        <v>0</v>
      </c>
      <c r="AI142" s="55">
        <v>0</v>
      </c>
      <c r="AJ142" s="55">
        <v>0</v>
      </c>
      <c r="AK142" s="55">
        <v>0</v>
      </c>
      <c r="AL142" s="55">
        <v>0</v>
      </c>
      <c r="AM142" s="55">
        <v>2095165.4553</v>
      </c>
      <c r="AN142" s="63">
        <v>160486.75260000001</v>
      </c>
      <c r="AO142" s="64">
        <v>295170.69331494003</v>
      </c>
      <c r="AP142" s="61">
        <f>+N142-'Приложение №2'!E142</f>
        <v>0</v>
      </c>
      <c r="AQ142" s="1">
        <f>1500891.17-445165.35</f>
        <v>1055725.8199999998</v>
      </c>
      <c r="AR142" s="3">
        <f t="shared" si="47"/>
        <v>510486.54</v>
      </c>
      <c r="AS142" s="3">
        <f>+(K142*10+L142*20)*12*30-179374.89</f>
        <v>17837797.109999999</v>
      </c>
      <c r="AT142" s="6">
        <f t="shared" si="45"/>
        <v>-14179571.64131018</v>
      </c>
      <c r="AW142" s="62">
        <f t="shared" si="41"/>
        <v>5224437.8286898201</v>
      </c>
      <c r="AX142" s="55"/>
      <c r="AY142" s="55"/>
      <c r="AZ142" s="55"/>
      <c r="BA142" s="55"/>
      <c r="BB142" s="55"/>
      <c r="BC142" s="55"/>
      <c r="BD142" s="55"/>
      <c r="BE142" s="55">
        <v>0</v>
      </c>
      <c r="BF142" s="55">
        <v>0</v>
      </c>
      <c r="BH142" s="55">
        <v>0</v>
      </c>
      <c r="BI142" s="55">
        <v>3209479.43</v>
      </c>
      <c r="BJ142" s="55">
        <v>1575434.3365</v>
      </c>
      <c r="BK142" s="63">
        <v>151747.05220000001</v>
      </c>
      <c r="BL142" s="64">
        <v>287777.00998982001</v>
      </c>
      <c r="BM142" s="8">
        <f t="shared" si="42"/>
        <v>5224437.8286898201</v>
      </c>
      <c r="BN142" s="55"/>
      <c r="BO142" s="55"/>
      <c r="BP142" s="71"/>
      <c r="BQ142" s="55"/>
      <c r="BR142" s="55"/>
      <c r="BS142" s="55"/>
      <c r="BT142" s="55"/>
      <c r="BU142" s="55">
        <v>0</v>
      </c>
      <c r="BV142" s="55">
        <v>0</v>
      </c>
      <c r="BX142" s="55">
        <v>0</v>
      </c>
      <c r="BY142" s="55">
        <v>3209479.43</v>
      </c>
      <c r="BZ142" s="55">
        <v>1575434.3365</v>
      </c>
      <c r="CA142" s="63">
        <v>151747.05220000001</v>
      </c>
      <c r="CB142" s="64">
        <v>287777.00998982001</v>
      </c>
    </row>
    <row r="143" spans="1:80" x14ac:dyDescent="0.25">
      <c r="A143" s="52">
        <f t="shared" si="43"/>
        <v>126</v>
      </c>
      <c r="B143" s="53">
        <f t="shared" si="44"/>
        <v>126</v>
      </c>
      <c r="C143" s="53" t="s">
        <v>206</v>
      </c>
      <c r="D143" s="53" t="s">
        <v>210</v>
      </c>
      <c r="E143" s="54">
        <v>1978</v>
      </c>
      <c r="F143" s="54">
        <v>2007</v>
      </c>
      <c r="G143" s="54" t="s">
        <v>64</v>
      </c>
      <c r="H143" s="54">
        <v>4</v>
      </c>
      <c r="I143" s="54">
        <v>4</v>
      </c>
      <c r="J143" s="55">
        <v>3576.31</v>
      </c>
      <c r="K143" s="55">
        <v>2733.31</v>
      </c>
      <c r="L143" s="55">
        <v>843</v>
      </c>
      <c r="M143" s="56">
        <v>110</v>
      </c>
      <c r="N143" s="62">
        <v>5699865.1681458</v>
      </c>
      <c r="O143" s="55"/>
      <c r="P143" s="63"/>
      <c r="Q143" s="63"/>
      <c r="R143" s="63">
        <v>1244325.77</v>
      </c>
      <c r="S143" s="63">
        <v>4455539.3981458005</v>
      </c>
      <c r="T143" s="55">
        <v>0</v>
      </c>
      <c r="U143" s="63">
        <v>1593.7838632964699</v>
      </c>
      <c r="V143" s="63">
        <v>1593.7838632964699</v>
      </c>
      <c r="W143" s="59">
        <v>2022</v>
      </c>
      <c r="X143" s="6" t="e">
        <v>#REF!</v>
      </c>
      <c r="Z143" s="62">
        <f t="shared" si="46"/>
        <v>14323988.610000001</v>
      </c>
      <c r="AA143" s="55">
        <v>6271198.8006540602</v>
      </c>
      <c r="AB143" s="55">
        <v>2218821.2026701001</v>
      </c>
      <c r="AC143" s="55">
        <v>0</v>
      </c>
      <c r="AD143" s="55">
        <v>1451323.2211791601</v>
      </c>
      <c r="AE143" s="55">
        <v>1857119.41303938</v>
      </c>
      <c r="AF143" s="55"/>
      <c r="AG143" s="55">
        <v>248829.75972035999</v>
      </c>
      <c r="AH143" s="55">
        <v>0</v>
      </c>
      <c r="AI143" s="55">
        <v>0</v>
      </c>
      <c r="AJ143" s="55">
        <v>0</v>
      </c>
      <c r="AK143" s="55">
        <v>0</v>
      </c>
      <c r="AL143" s="55">
        <v>0</v>
      </c>
      <c r="AM143" s="55">
        <v>1870006.4417999999</v>
      </c>
      <c r="AN143" s="63">
        <v>143239.8861</v>
      </c>
      <c r="AO143" s="64">
        <v>263449.88483693998</v>
      </c>
      <c r="AP143" s="61">
        <f>+N143-'Приложение №2'!E143</f>
        <v>0</v>
      </c>
      <c r="AQ143" s="1">
        <f>1278728.82-485172.67</f>
        <v>793556.15000000014</v>
      </c>
      <c r="AR143" s="3">
        <f t="shared" si="47"/>
        <v>450769.61999999994</v>
      </c>
      <c r="AS143" s="3">
        <f>+(K143*10+L143*20)*12*30-175262.76</f>
        <v>15734253.239999998</v>
      </c>
      <c r="AT143" s="6">
        <f t="shared" si="45"/>
        <v>-11278713.841854198</v>
      </c>
      <c r="AW143" s="62">
        <f t="shared" si="41"/>
        <v>5699865.1681458</v>
      </c>
      <c r="AX143" s="55"/>
      <c r="AY143" s="55"/>
      <c r="AZ143" s="55"/>
      <c r="BA143" s="55"/>
      <c r="BB143" s="55"/>
      <c r="BC143" s="55"/>
      <c r="BD143" s="55"/>
      <c r="BE143" s="55">
        <v>0</v>
      </c>
      <c r="BF143" s="55">
        <v>0</v>
      </c>
      <c r="BH143" s="55">
        <v>0</v>
      </c>
      <c r="BI143" s="55">
        <v>4230200.7</v>
      </c>
      <c r="BJ143" s="55">
        <v>1151371.1732999999</v>
      </c>
      <c r="BK143" s="63">
        <v>109963.64969999999</v>
      </c>
      <c r="BL143" s="64">
        <v>208329.64514579999</v>
      </c>
      <c r="BM143" s="8">
        <f t="shared" si="42"/>
        <v>5699865.1681458</v>
      </c>
      <c r="BN143" s="55"/>
      <c r="BO143" s="55"/>
      <c r="BP143" s="71"/>
      <c r="BQ143" s="55"/>
      <c r="BR143" s="55"/>
      <c r="BS143" s="55"/>
      <c r="BT143" s="55"/>
      <c r="BU143" s="55">
        <v>0</v>
      </c>
      <c r="BV143" s="55">
        <v>0</v>
      </c>
      <c r="BX143" s="55">
        <v>0</v>
      </c>
      <c r="BY143" s="55">
        <v>4230200.7</v>
      </c>
      <c r="BZ143" s="55">
        <v>1151371.1732999999</v>
      </c>
      <c r="CA143" s="63">
        <v>109963.64969999999</v>
      </c>
      <c r="CB143" s="64">
        <v>208329.64514579999</v>
      </c>
    </row>
    <row r="144" spans="1:80" x14ac:dyDescent="0.25">
      <c r="A144" s="52">
        <f t="shared" si="43"/>
        <v>127</v>
      </c>
      <c r="B144" s="53">
        <f t="shared" si="44"/>
        <v>127</v>
      </c>
      <c r="C144" s="53" t="s">
        <v>206</v>
      </c>
      <c r="D144" s="53" t="s">
        <v>211</v>
      </c>
      <c r="E144" s="54">
        <v>1964</v>
      </c>
      <c r="F144" s="54">
        <v>1964</v>
      </c>
      <c r="G144" s="54" t="s">
        <v>64</v>
      </c>
      <c r="H144" s="54">
        <v>2</v>
      </c>
      <c r="I144" s="54">
        <v>2</v>
      </c>
      <c r="J144" s="55">
        <v>868.87</v>
      </c>
      <c r="K144" s="55">
        <v>613.55999999999995</v>
      </c>
      <c r="L144" s="55">
        <v>255.31</v>
      </c>
      <c r="M144" s="56">
        <v>26</v>
      </c>
      <c r="N144" s="62">
        <v>5854211.9964420004</v>
      </c>
      <c r="O144" s="55"/>
      <c r="P144" s="7"/>
      <c r="Q144" s="63"/>
      <c r="R144" s="63">
        <v>292223.84999999998</v>
      </c>
      <c r="S144" s="63">
        <v>4017523.14</v>
      </c>
      <c r="T144" s="55">
        <v>1544465.0064419999</v>
      </c>
      <c r="U144" s="63">
        <v>6737.7306115322199</v>
      </c>
      <c r="V144" s="63">
        <v>6737.7306115322199</v>
      </c>
      <c r="W144" s="59">
        <v>2022</v>
      </c>
      <c r="X144" s="6" t="e">
        <v>#REF!</v>
      </c>
      <c r="Z144" s="62">
        <f t="shared" si="46"/>
        <v>6504868.2400000002</v>
      </c>
      <c r="AA144" s="55">
        <v>0</v>
      </c>
      <c r="AB144" s="55">
        <v>0</v>
      </c>
      <c r="AC144" s="55">
        <v>516103.55464625999</v>
      </c>
      <c r="AD144" s="55">
        <v>0</v>
      </c>
      <c r="AE144" s="55">
        <v>0</v>
      </c>
      <c r="AF144" s="55"/>
      <c r="AG144" s="55">
        <v>0</v>
      </c>
      <c r="AH144" s="55">
        <v>0</v>
      </c>
      <c r="AI144" s="55">
        <v>5207195.1827069996</v>
      </c>
      <c r="AJ144" s="55">
        <v>0</v>
      </c>
      <c r="AK144" s="55">
        <v>0</v>
      </c>
      <c r="AL144" s="55">
        <v>0</v>
      </c>
      <c r="AM144" s="55">
        <v>591363.86849999998</v>
      </c>
      <c r="AN144" s="63">
        <v>65048.682399999998</v>
      </c>
      <c r="AO144" s="64">
        <v>125156.95174674</v>
      </c>
      <c r="AP144" s="61">
        <f>+N144-'Приложение №2'!E144</f>
        <v>0</v>
      </c>
      <c r="AQ144" s="1">
        <f>278417.8-100860.31</f>
        <v>177557.49</v>
      </c>
      <c r="AR144" s="3">
        <f t="shared" si="47"/>
        <v>114666.35999999997</v>
      </c>
      <c r="AS144" s="3">
        <f>+(K144*10+L144*20)*12*30-29524.86</f>
        <v>4017523.1399999992</v>
      </c>
      <c r="AT144" s="6">
        <f t="shared" si="45"/>
        <v>0</v>
      </c>
      <c r="AW144" s="62">
        <f t="shared" si="41"/>
        <v>5854211.9964419995</v>
      </c>
      <c r="AX144" s="55">
        <v>0</v>
      </c>
      <c r="AY144" s="55"/>
      <c r="AZ144" s="55"/>
      <c r="BA144" s="55"/>
      <c r="BB144" s="55">
        <v>0</v>
      </c>
      <c r="BC144" s="55"/>
      <c r="BD144" s="55"/>
      <c r="BE144" s="55">
        <v>0</v>
      </c>
      <c r="BF144" s="55">
        <v>5484086.3899999997</v>
      </c>
      <c r="BG144" s="55">
        <v>0</v>
      </c>
      <c r="BH144" s="55">
        <v>0</v>
      </c>
      <c r="BI144" s="55">
        <v>0</v>
      </c>
      <c r="BJ144" s="55">
        <v>229304.55</v>
      </c>
      <c r="BK144" s="63">
        <v>6666.66</v>
      </c>
      <c r="BL144" s="64">
        <v>134154.396442</v>
      </c>
      <c r="BM144" s="8">
        <f t="shared" si="42"/>
        <v>5854211.9964419995</v>
      </c>
      <c r="BN144" s="55">
        <v>0</v>
      </c>
      <c r="BO144" s="55"/>
      <c r="BP144" s="71"/>
      <c r="BQ144" s="55"/>
      <c r="BR144" s="55">
        <v>0</v>
      </c>
      <c r="BS144" s="55"/>
      <c r="BT144" s="55"/>
      <c r="BU144" s="55">
        <v>0</v>
      </c>
      <c r="BV144" s="55">
        <v>5484086.3899999997</v>
      </c>
      <c r="BW144" s="55">
        <v>0</v>
      </c>
      <c r="BX144" s="55">
        <v>0</v>
      </c>
      <c r="BY144" s="55">
        <v>0</v>
      </c>
      <c r="BZ144" s="55">
        <v>229304.55</v>
      </c>
      <c r="CA144" s="63">
        <v>6666.66</v>
      </c>
      <c r="CB144" s="64">
        <v>134154.396442</v>
      </c>
    </row>
    <row r="145" spans="1:80" x14ac:dyDescent="0.25">
      <c r="A145" s="52">
        <f t="shared" si="43"/>
        <v>128</v>
      </c>
      <c r="B145" s="53">
        <f t="shared" si="44"/>
        <v>128</v>
      </c>
      <c r="C145" s="53" t="s">
        <v>212</v>
      </c>
      <c r="D145" s="53" t="s">
        <v>213</v>
      </c>
      <c r="E145" s="54">
        <v>1977</v>
      </c>
      <c r="F145" s="54">
        <v>1977</v>
      </c>
      <c r="G145" s="54" t="s">
        <v>64</v>
      </c>
      <c r="H145" s="54">
        <v>5</v>
      </c>
      <c r="I145" s="54">
        <v>1</v>
      </c>
      <c r="J145" s="55">
        <v>1730.3</v>
      </c>
      <c r="K145" s="55">
        <v>1456.4</v>
      </c>
      <c r="L145" s="55">
        <v>0</v>
      </c>
      <c r="M145" s="56">
        <v>49</v>
      </c>
      <c r="N145" s="62">
        <v>7339250.7175319996</v>
      </c>
      <c r="O145" s="55"/>
      <c r="P145" s="63">
        <v>543550.55000000005</v>
      </c>
      <c r="Q145" s="63"/>
      <c r="R145" s="63">
        <v>737257.37</v>
      </c>
      <c r="S145" s="63">
        <v>1453245.72</v>
      </c>
      <c r="T145" s="55">
        <v>4605197.0775319999</v>
      </c>
      <c r="U145" s="63">
        <v>5039.3097483740703</v>
      </c>
      <c r="V145" s="63">
        <v>5039.3097483740703</v>
      </c>
      <c r="W145" s="59">
        <v>2022</v>
      </c>
      <c r="X145" s="6" t="e">
        <v>#REF!</v>
      </c>
      <c r="Z145" s="62">
        <f t="shared" si="46"/>
        <v>38072067.119999997</v>
      </c>
      <c r="AA145" s="55">
        <v>4710479.1050062198</v>
      </c>
      <c r="AB145" s="55">
        <v>2176226.3089270201</v>
      </c>
      <c r="AC145" s="55">
        <v>2204614.38392244</v>
      </c>
      <c r="AD145" s="55">
        <v>1424137.12034328</v>
      </c>
      <c r="AE145" s="55">
        <v>0</v>
      </c>
      <c r="AF145" s="55"/>
      <c r="AG145" s="55">
        <v>146063.50321331999</v>
      </c>
      <c r="AH145" s="55">
        <v>0</v>
      </c>
      <c r="AI145" s="55">
        <v>11068738.746596999</v>
      </c>
      <c r="AJ145" s="55">
        <v>0</v>
      </c>
      <c r="AK145" s="55">
        <v>5717896.3951359596</v>
      </c>
      <c r="AL145" s="55">
        <v>5901111.3759780005</v>
      </c>
      <c r="AM145" s="55">
        <v>3612798.5854000002</v>
      </c>
      <c r="AN145" s="63">
        <v>380720.67119999998</v>
      </c>
      <c r="AO145" s="64">
        <v>729280.92427675996</v>
      </c>
      <c r="AP145" s="61">
        <f>+N145-'Приложение №2'!E145</f>
        <v>0</v>
      </c>
      <c r="AQ145" s="1">
        <v>590020.37</v>
      </c>
      <c r="AR145" s="3">
        <f t="shared" si="47"/>
        <v>148552.79999999999</v>
      </c>
      <c r="AS145" s="3">
        <f>+(K145*10+L145*20)*12*30</f>
        <v>5243040</v>
      </c>
      <c r="AT145" s="6">
        <f t="shared" si="45"/>
        <v>-3789794.2800000003</v>
      </c>
      <c r="AW145" s="62">
        <f t="shared" si="41"/>
        <v>7339250.7175320005</v>
      </c>
      <c r="BB145" s="55">
        <v>0</v>
      </c>
      <c r="BC145" s="55"/>
      <c r="BD145" s="55"/>
      <c r="BE145" s="55">
        <v>0</v>
      </c>
      <c r="BF145" s="55">
        <v>6665001.5300000003</v>
      </c>
      <c r="BG145" s="55">
        <v>0</v>
      </c>
      <c r="BH145" s="55"/>
      <c r="BI145" s="55"/>
      <c r="BJ145" s="55"/>
      <c r="BK145" s="63"/>
      <c r="BL145" s="64">
        <v>674249.18753200001</v>
      </c>
      <c r="BM145" s="8">
        <f t="shared" si="42"/>
        <v>7339250.7175320005</v>
      </c>
      <c r="BP145" s="72"/>
      <c r="BR145" s="55">
        <v>0</v>
      </c>
      <c r="BS145" s="55"/>
      <c r="BT145" s="55"/>
      <c r="BU145" s="55">
        <v>0</v>
      </c>
      <c r="BV145" s="55">
        <v>6665001.5300000003</v>
      </c>
      <c r="BW145" s="55">
        <v>0</v>
      </c>
      <c r="BX145" s="55"/>
      <c r="BY145" s="55"/>
      <c r="BZ145" s="55"/>
      <c r="CA145" s="63"/>
      <c r="CB145" s="64">
        <v>674249.18753200001</v>
      </c>
    </row>
    <row r="146" spans="1:80" x14ac:dyDescent="0.25">
      <c r="A146" s="52">
        <f t="shared" si="43"/>
        <v>129</v>
      </c>
      <c r="B146" s="53">
        <f t="shared" si="44"/>
        <v>129</v>
      </c>
      <c r="C146" s="53" t="s">
        <v>214</v>
      </c>
      <c r="D146" s="53" t="s">
        <v>215</v>
      </c>
      <c r="E146" s="54">
        <v>1984</v>
      </c>
      <c r="F146" s="54">
        <v>1984</v>
      </c>
      <c r="G146" s="54" t="s">
        <v>64</v>
      </c>
      <c r="H146" s="54">
        <v>5</v>
      </c>
      <c r="I146" s="54">
        <v>4</v>
      </c>
      <c r="J146" s="55">
        <v>3359.4</v>
      </c>
      <c r="K146" s="55">
        <v>2391.8000000000002</v>
      </c>
      <c r="L146" s="55">
        <v>553.20000000000005</v>
      </c>
      <c r="M146" s="56">
        <v>62</v>
      </c>
      <c r="N146" s="62">
        <v>7581577</v>
      </c>
      <c r="O146" s="55"/>
      <c r="P146" s="63"/>
      <c r="Q146" s="63"/>
      <c r="R146" s="63">
        <v>492779.18</v>
      </c>
      <c r="S146" s="63">
        <v>5673883.7999999998</v>
      </c>
      <c r="T146" s="55">
        <v>1414914.02</v>
      </c>
      <c r="U146" s="63">
        <v>2574.3894736842099</v>
      </c>
      <c r="V146" s="63">
        <v>2574.3894736842099</v>
      </c>
      <c r="W146" s="59">
        <v>2022</v>
      </c>
      <c r="X146" s="6" t="e">
        <v>#REF!</v>
      </c>
      <c r="Z146" s="62">
        <f t="shared" si="46"/>
        <v>24399375.708956137</v>
      </c>
      <c r="AA146" s="55">
        <v>0</v>
      </c>
      <c r="AB146" s="55">
        <v>0</v>
      </c>
      <c r="AC146" s="55">
        <v>0</v>
      </c>
      <c r="AD146" s="55">
        <v>0</v>
      </c>
      <c r="AE146" s="55">
        <v>0</v>
      </c>
      <c r="AF146" s="55"/>
      <c r="AG146" s="55">
        <v>0</v>
      </c>
      <c r="AH146" s="55">
        <v>0</v>
      </c>
      <c r="AI146" s="55">
        <v>0</v>
      </c>
      <c r="AJ146" s="55">
        <v>0</v>
      </c>
      <c r="AK146" s="55">
        <v>10229706.1</v>
      </c>
      <c r="AL146" s="55">
        <v>13577874.103205999</v>
      </c>
      <c r="AM146" s="55">
        <v>258631.32</v>
      </c>
      <c r="AN146" s="55">
        <v>39488.83</v>
      </c>
      <c r="AO146" s="64">
        <v>293675.35575013998</v>
      </c>
      <c r="AP146" s="61">
        <f>+N146-'Приложение №2'!E146</f>
        <v>0</v>
      </c>
      <c r="AQ146" s="1">
        <v>1110865.6299999999</v>
      </c>
      <c r="AR146" s="3">
        <f t="shared" si="47"/>
        <v>356816.39999999997</v>
      </c>
      <c r="AS146" s="3">
        <f>+(K146*10+L146*20)*12*30-3112059.45</f>
        <v>9481460.5500000007</v>
      </c>
      <c r="AT146" s="6">
        <f t="shared" si="45"/>
        <v>-3807576.7500000009</v>
      </c>
      <c r="AW146" s="62">
        <f t="shared" ref="AW146:AW177" si="48">SUBTOTAL(9, AX146:BL146)</f>
        <v>7581577</v>
      </c>
      <c r="AX146" s="55">
        <v>5331233.07</v>
      </c>
      <c r="AY146" s="55"/>
      <c r="AZ146" s="55"/>
      <c r="BA146" s="55">
        <v>2162679.08</v>
      </c>
      <c r="BB146" s="55">
        <v>0</v>
      </c>
      <c r="BC146" s="55"/>
      <c r="BD146" s="55"/>
      <c r="BE146" s="55">
        <v>0</v>
      </c>
      <c r="BF146" s="55"/>
      <c r="BG146" s="55">
        <v>0</v>
      </c>
      <c r="BH146" s="55"/>
      <c r="BJ146" s="55"/>
      <c r="BK146" s="55"/>
      <c r="BL146" s="64">
        <v>87664.85</v>
      </c>
      <c r="BM146" s="8">
        <f t="shared" ref="BM146:BM177" si="49">SUBTOTAL(9, BN146:CB146)</f>
        <v>7581577</v>
      </c>
      <c r="BN146" s="55">
        <v>5331233.07</v>
      </c>
      <c r="BO146" s="55"/>
      <c r="BP146" s="71"/>
      <c r="BQ146" s="55">
        <v>2162679.08</v>
      </c>
      <c r="BR146" s="55">
        <v>0</v>
      </c>
      <c r="BS146" s="55"/>
      <c r="BT146" s="55"/>
      <c r="BU146" s="55">
        <v>0</v>
      </c>
      <c r="BV146" s="55"/>
      <c r="BW146" s="55">
        <v>0</v>
      </c>
      <c r="BX146" s="55"/>
      <c r="BZ146" s="55"/>
      <c r="CA146" s="55"/>
      <c r="CB146" s="64">
        <v>87664.85</v>
      </c>
    </row>
    <row r="147" spans="1:80" x14ac:dyDescent="0.25">
      <c r="A147" s="52">
        <f t="shared" ref="A147:A178" si="50">+A146+1</f>
        <v>130</v>
      </c>
      <c r="B147" s="53">
        <f t="shared" ref="B147:B178" si="51">+B146+1</f>
        <v>130</v>
      </c>
      <c r="C147" s="53" t="s">
        <v>214</v>
      </c>
      <c r="D147" s="53" t="s">
        <v>216</v>
      </c>
      <c r="E147" s="54">
        <v>1980</v>
      </c>
      <c r="F147" s="54">
        <v>2013</v>
      </c>
      <c r="G147" s="54" t="s">
        <v>64</v>
      </c>
      <c r="H147" s="54">
        <v>5</v>
      </c>
      <c r="I147" s="54">
        <v>4</v>
      </c>
      <c r="J147" s="55">
        <v>3517.3</v>
      </c>
      <c r="K147" s="55">
        <v>2413.5</v>
      </c>
      <c r="L147" s="55">
        <v>670.3</v>
      </c>
      <c r="M147" s="56">
        <v>55</v>
      </c>
      <c r="N147" s="62">
        <v>12740666.6447822</v>
      </c>
      <c r="O147" s="55"/>
      <c r="P147" s="63">
        <v>3328292.21</v>
      </c>
      <c r="Q147" s="63"/>
      <c r="R147" s="63"/>
      <c r="S147" s="63">
        <v>9412374.4347821604</v>
      </c>
      <c r="T147" s="63">
        <v>0</v>
      </c>
      <c r="U147" s="63">
        <v>4131.4827955062501</v>
      </c>
      <c r="V147" s="63">
        <v>4131.4827955062501</v>
      </c>
      <c r="W147" s="59">
        <v>2022</v>
      </c>
      <c r="X147" s="6" t="e">
        <v>#REF!</v>
      </c>
      <c r="Y147" s="1" t="s">
        <v>217</v>
      </c>
      <c r="Z147" s="62">
        <f t="shared" si="46"/>
        <v>14492948.68038216</v>
      </c>
      <c r="AA147" s="55">
        <v>0</v>
      </c>
      <c r="AB147" s="55">
        <v>0</v>
      </c>
      <c r="AC147" s="55"/>
      <c r="AD147" s="55">
        <v>0</v>
      </c>
      <c r="AE147" s="55">
        <v>0</v>
      </c>
      <c r="AF147" s="55"/>
      <c r="AG147" s="55">
        <v>0</v>
      </c>
      <c r="AH147" s="55">
        <v>0</v>
      </c>
      <c r="AI147" s="55">
        <v>0</v>
      </c>
      <c r="AJ147" s="55">
        <v>0</v>
      </c>
      <c r="AK147" s="55">
        <v>13313168.82</v>
      </c>
      <c r="AL147" s="55">
        <v>0</v>
      </c>
      <c r="AM147" s="55">
        <v>947969.25600000005</v>
      </c>
      <c r="AN147" s="63">
        <v>59182.779600000002</v>
      </c>
      <c r="AO147" s="64">
        <v>172627.82478215999</v>
      </c>
      <c r="AP147" s="61">
        <f>+N147-'Приложение №2'!E147</f>
        <v>4.0978193283081055E-8</v>
      </c>
      <c r="AQ147" s="1">
        <v>1112557.28</v>
      </c>
      <c r="AR147" s="3">
        <f t="shared" si="47"/>
        <v>382918.2</v>
      </c>
      <c r="AS147" s="3">
        <f>+(K147*10+L147*20)*12*30-2158139.11-363880.66</f>
        <v>10992740.23</v>
      </c>
      <c r="AT147" s="6">
        <f t="shared" si="45"/>
        <v>-1580365.79521784</v>
      </c>
      <c r="AW147" s="62">
        <f t="shared" si="48"/>
        <v>12740666.644782159</v>
      </c>
      <c r="AX147" s="55">
        <v>0</v>
      </c>
      <c r="AY147" s="55">
        <v>0</v>
      </c>
      <c r="AZ147" s="55"/>
      <c r="BA147" s="55">
        <v>0</v>
      </c>
      <c r="BB147" s="55">
        <v>0</v>
      </c>
      <c r="BC147" s="55"/>
      <c r="BD147" s="55"/>
      <c r="BE147" s="55">
        <v>0</v>
      </c>
      <c r="BF147" s="55">
        <v>0</v>
      </c>
      <c r="BG147" s="55">
        <v>0</v>
      </c>
      <c r="BH147" s="55">
        <v>12568038.82</v>
      </c>
      <c r="BI147" s="55">
        <v>0</v>
      </c>
      <c r="BJ147" s="55"/>
      <c r="BK147" s="63"/>
      <c r="BL147" s="64">
        <v>172627.82478215999</v>
      </c>
      <c r="BM147" s="8">
        <f t="shared" si="49"/>
        <v>12740666.644782159</v>
      </c>
      <c r="BN147" s="55">
        <v>0</v>
      </c>
      <c r="BO147" s="55">
        <v>0</v>
      </c>
      <c r="BP147" s="71"/>
      <c r="BQ147" s="55">
        <v>0</v>
      </c>
      <c r="BR147" s="55">
        <v>0</v>
      </c>
      <c r="BS147" s="55"/>
      <c r="BT147" s="55"/>
      <c r="BU147" s="55">
        <v>0</v>
      </c>
      <c r="BV147" s="55">
        <v>0</v>
      </c>
      <c r="BW147" s="55">
        <v>0</v>
      </c>
      <c r="BX147" s="55">
        <v>12568038.82</v>
      </c>
      <c r="BY147" s="55">
        <v>0</v>
      </c>
      <c r="BZ147" s="55"/>
      <c r="CA147" s="63"/>
      <c r="CB147" s="64">
        <v>172627.82478215999</v>
      </c>
    </row>
    <row r="148" spans="1:80" x14ac:dyDescent="0.25">
      <c r="A148" s="52">
        <f t="shared" si="50"/>
        <v>131</v>
      </c>
      <c r="B148" s="53">
        <f t="shared" si="51"/>
        <v>131</v>
      </c>
      <c r="C148" s="53" t="s">
        <v>218</v>
      </c>
      <c r="D148" s="53" t="s">
        <v>219</v>
      </c>
      <c r="E148" s="54">
        <v>1964</v>
      </c>
      <c r="F148" s="54">
        <v>1964</v>
      </c>
      <c r="G148" s="54" t="s">
        <v>64</v>
      </c>
      <c r="H148" s="54">
        <v>3</v>
      </c>
      <c r="I148" s="54">
        <v>3</v>
      </c>
      <c r="J148" s="55">
        <v>977.7</v>
      </c>
      <c r="K148" s="55">
        <v>824.1</v>
      </c>
      <c r="L148" s="55">
        <v>81.5</v>
      </c>
      <c r="M148" s="56">
        <v>40</v>
      </c>
      <c r="N148" s="62">
        <v>275546.21000000002</v>
      </c>
      <c r="O148" s="55"/>
      <c r="P148" s="63"/>
      <c r="Q148" s="63"/>
      <c r="R148" s="63">
        <v>204954.46</v>
      </c>
      <c r="S148" s="63">
        <v>70591.75</v>
      </c>
      <c r="T148" s="55">
        <v>0</v>
      </c>
      <c r="U148" s="63">
        <v>304.26922482332202</v>
      </c>
      <c r="V148" s="63">
        <v>304.26922482332202</v>
      </c>
      <c r="W148" s="59">
        <v>2022</v>
      </c>
      <c r="X148" s="6" t="e">
        <v>#REF!</v>
      </c>
      <c r="Z148" s="62">
        <f t="shared" si="46"/>
        <v>8343290.9400000013</v>
      </c>
      <c r="AA148" s="55">
        <v>0</v>
      </c>
      <c r="AB148" s="55">
        <v>0</v>
      </c>
      <c r="AC148" s="55">
        <v>0</v>
      </c>
      <c r="AD148" s="55">
        <v>0</v>
      </c>
      <c r="AE148" s="55">
        <v>0</v>
      </c>
      <c r="AF148" s="55"/>
      <c r="AG148" s="55">
        <v>0</v>
      </c>
      <c r="AH148" s="55">
        <v>0</v>
      </c>
      <c r="AI148" s="55">
        <v>0</v>
      </c>
      <c r="AJ148" s="55">
        <v>0</v>
      </c>
      <c r="AK148" s="55">
        <v>0</v>
      </c>
      <c r="AL148" s="55">
        <v>7266622.6173567604</v>
      </c>
      <c r="AM148" s="55">
        <v>834329.09400000004</v>
      </c>
      <c r="AN148" s="63">
        <v>83432.909400000004</v>
      </c>
      <c r="AO148" s="64">
        <v>158906.31924324</v>
      </c>
      <c r="AP148" s="61">
        <f>+N148-'Приложение №2'!E148</f>
        <v>0</v>
      </c>
      <c r="AQ148" s="1">
        <f>314113.02-85397.7</f>
        <v>228715.32</v>
      </c>
      <c r="AR148" s="3">
        <f t="shared" si="47"/>
        <v>100684.2</v>
      </c>
      <c r="AS148" s="3">
        <f>+(K148*10+L148*20)*12*30</f>
        <v>3553560</v>
      </c>
      <c r="AT148" s="6">
        <f t="shared" si="45"/>
        <v>-3482968.25</v>
      </c>
      <c r="AW148" s="62">
        <f t="shared" si="48"/>
        <v>275546.21000000002</v>
      </c>
      <c r="AX148" s="55">
        <v>0</v>
      </c>
      <c r="AY148" s="55">
        <v>0</v>
      </c>
      <c r="AZ148" s="55">
        <v>0</v>
      </c>
      <c r="BA148" s="55">
        <v>0</v>
      </c>
      <c r="BB148" s="55">
        <v>0</v>
      </c>
      <c r="BC148" s="55"/>
      <c r="BD148" s="55"/>
      <c r="BE148" s="55">
        <v>0</v>
      </c>
      <c r="BF148" s="55">
        <v>0</v>
      </c>
      <c r="BG148" s="55">
        <v>0</v>
      </c>
      <c r="BH148" s="55">
        <v>0</v>
      </c>
      <c r="BI148" s="55">
        <v>275546.21000000002</v>
      </c>
      <c r="BJ148" s="55"/>
      <c r="BK148" s="63"/>
      <c r="BL148" s="64"/>
      <c r="BM148" s="8">
        <f t="shared" si="49"/>
        <v>275546.21000000002</v>
      </c>
      <c r="BN148" s="55">
        <v>0</v>
      </c>
      <c r="BO148" s="55">
        <v>0</v>
      </c>
      <c r="BP148" s="71">
        <v>0</v>
      </c>
      <c r="BQ148" s="55">
        <v>0</v>
      </c>
      <c r="BR148" s="55">
        <v>0</v>
      </c>
      <c r="BS148" s="55"/>
      <c r="BT148" s="55"/>
      <c r="BU148" s="55">
        <v>0</v>
      </c>
      <c r="BV148" s="55">
        <v>0</v>
      </c>
      <c r="BW148" s="55">
        <v>0</v>
      </c>
      <c r="BX148" s="55">
        <v>0</v>
      </c>
      <c r="BY148" s="55">
        <v>275546.21000000002</v>
      </c>
      <c r="BZ148" s="55"/>
      <c r="CA148" s="63"/>
      <c r="CB148" s="64"/>
    </row>
    <row r="149" spans="1:80" x14ac:dyDescent="0.25">
      <c r="A149" s="52">
        <f t="shared" si="50"/>
        <v>132</v>
      </c>
      <c r="B149" s="53">
        <f t="shared" si="51"/>
        <v>132</v>
      </c>
      <c r="C149" s="53" t="s">
        <v>218</v>
      </c>
      <c r="D149" s="53" t="s">
        <v>220</v>
      </c>
      <c r="E149" s="54">
        <v>1973</v>
      </c>
      <c r="F149" s="54">
        <v>1973</v>
      </c>
      <c r="G149" s="54" t="s">
        <v>64</v>
      </c>
      <c r="H149" s="54">
        <v>4</v>
      </c>
      <c r="I149" s="54">
        <v>3</v>
      </c>
      <c r="J149" s="55">
        <v>1399</v>
      </c>
      <c r="K149" s="55">
        <v>1081.5999999999999</v>
      </c>
      <c r="L149" s="55">
        <v>197.9</v>
      </c>
      <c r="M149" s="56">
        <v>41</v>
      </c>
      <c r="N149" s="62">
        <v>2485206.75</v>
      </c>
      <c r="O149" s="55"/>
      <c r="P149" s="63">
        <v>404178.6</v>
      </c>
      <c r="Q149" s="63"/>
      <c r="R149" s="63">
        <v>325425.82</v>
      </c>
      <c r="S149" s="63">
        <v>1755602.33</v>
      </c>
      <c r="T149" s="55">
        <v>0</v>
      </c>
      <c r="U149" s="63">
        <v>1942.3264947245</v>
      </c>
      <c r="V149" s="63">
        <v>1942.3264947245</v>
      </c>
      <c r="W149" s="59">
        <v>2022</v>
      </c>
      <c r="X149" s="6" t="e">
        <v>#REF!</v>
      </c>
      <c r="Z149" s="62">
        <f t="shared" si="46"/>
        <v>11828796.819999998</v>
      </c>
      <c r="AA149" s="55">
        <v>0</v>
      </c>
      <c r="AB149" s="55">
        <v>0</v>
      </c>
      <c r="AC149" s="55">
        <v>0</v>
      </c>
      <c r="AD149" s="55">
        <v>0</v>
      </c>
      <c r="AE149" s="55">
        <v>0</v>
      </c>
      <c r="AF149" s="55"/>
      <c r="AG149" s="55">
        <v>0</v>
      </c>
      <c r="AH149" s="55">
        <v>0</v>
      </c>
      <c r="AI149" s="55">
        <v>6651371.2383215996</v>
      </c>
      <c r="AJ149" s="55">
        <v>0</v>
      </c>
      <c r="AK149" s="55">
        <v>0</v>
      </c>
      <c r="AL149" s="55">
        <v>3724870.79211492</v>
      </c>
      <c r="AM149" s="55">
        <v>1107359.4236000001</v>
      </c>
      <c r="AN149" s="63">
        <v>118287.9682</v>
      </c>
      <c r="AO149" s="64">
        <v>226907.39776348</v>
      </c>
      <c r="AP149" s="61">
        <f>+N149-'Приложение №2'!E149</f>
        <v>0</v>
      </c>
      <c r="AQ149" s="1">
        <f>414772.6-182047.66</f>
        <v>232724.93999999997</v>
      </c>
      <c r="AR149" s="3">
        <f t="shared" si="47"/>
        <v>150694.79999999999</v>
      </c>
      <c r="AS149" s="3">
        <f>+(K149*10+L149*20)*12*30</f>
        <v>5318640</v>
      </c>
      <c r="AT149" s="6">
        <f t="shared" si="45"/>
        <v>-3563037.67</v>
      </c>
      <c r="AW149" s="62">
        <f t="shared" si="48"/>
        <v>2485206.75</v>
      </c>
      <c r="AX149" s="55">
        <v>0</v>
      </c>
      <c r="AY149" s="55">
        <v>0</v>
      </c>
      <c r="AZ149" s="55">
        <v>0</v>
      </c>
      <c r="BA149" s="55">
        <v>0</v>
      </c>
      <c r="BB149" s="55">
        <v>0</v>
      </c>
      <c r="BC149" s="55"/>
      <c r="BD149" s="55"/>
      <c r="BE149" s="55">
        <v>0</v>
      </c>
      <c r="BF149" s="55">
        <v>1968122.34</v>
      </c>
      <c r="BG149" s="55">
        <v>0</v>
      </c>
      <c r="BH149" s="55">
        <v>0</v>
      </c>
      <c r="BI149" s="55">
        <v>517084.41</v>
      </c>
      <c r="BJ149" s="55"/>
      <c r="BK149" s="63"/>
      <c r="BL149" s="64"/>
      <c r="BM149" s="8">
        <f t="shared" si="49"/>
        <v>2485206.75</v>
      </c>
      <c r="BN149" s="55">
        <v>0</v>
      </c>
      <c r="BO149" s="55">
        <v>0</v>
      </c>
      <c r="BP149" s="71">
        <v>0</v>
      </c>
      <c r="BQ149" s="55">
        <v>0</v>
      </c>
      <c r="BR149" s="55">
        <v>0</v>
      </c>
      <c r="BS149" s="55"/>
      <c r="BT149" s="55"/>
      <c r="BU149" s="55">
        <v>0</v>
      </c>
      <c r="BV149" s="55">
        <v>1968122.34</v>
      </c>
      <c r="BW149" s="55">
        <v>0</v>
      </c>
      <c r="BX149" s="55">
        <v>0</v>
      </c>
      <c r="BY149" s="55">
        <v>517084.41</v>
      </c>
      <c r="BZ149" s="55"/>
      <c r="CA149" s="63"/>
      <c r="CB149" s="64"/>
    </row>
    <row r="150" spans="1:80" x14ac:dyDescent="0.25">
      <c r="A150" s="52">
        <f t="shared" si="50"/>
        <v>133</v>
      </c>
      <c r="B150" s="53">
        <f t="shared" si="51"/>
        <v>133</v>
      </c>
      <c r="C150" s="53" t="s">
        <v>218</v>
      </c>
      <c r="D150" s="53" t="s">
        <v>221</v>
      </c>
      <c r="E150" s="54">
        <v>1969</v>
      </c>
      <c r="F150" s="54">
        <v>1969</v>
      </c>
      <c r="G150" s="54" t="s">
        <v>64</v>
      </c>
      <c r="H150" s="54">
        <v>4</v>
      </c>
      <c r="I150" s="54">
        <v>4</v>
      </c>
      <c r="J150" s="55">
        <v>1301.0999999999999</v>
      </c>
      <c r="K150" s="55">
        <v>1206.0999999999999</v>
      </c>
      <c r="L150" s="55">
        <v>0</v>
      </c>
      <c r="M150" s="56">
        <v>55</v>
      </c>
      <c r="N150" s="62">
        <v>1052989.615364</v>
      </c>
      <c r="O150" s="55"/>
      <c r="P150" s="63">
        <v>48024.160000000003</v>
      </c>
      <c r="Q150" s="63"/>
      <c r="R150" s="63"/>
      <c r="S150" s="63">
        <v>1004965.4553640001</v>
      </c>
      <c r="T150" s="55"/>
      <c r="U150" s="63">
        <v>873.05332506757304</v>
      </c>
      <c r="V150" s="63">
        <v>873.05332506757304</v>
      </c>
      <c r="W150" s="59">
        <v>2022</v>
      </c>
      <c r="X150" s="6" t="e">
        <v>#REF!</v>
      </c>
      <c r="Z150" s="62">
        <f t="shared" si="46"/>
        <v>20711430.510000002</v>
      </c>
      <c r="AA150" s="55">
        <v>3099206.3677902599</v>
      </c>
      <c r="AB150" s="55">
        <v>1118078.6011840201</v>
      </c>
      <c r="AC150" s="55">
        <v>1168117.9829516399</v>
      </c>
      <c r="AD150" s="55">
        <v>731341.61352924001</v>
      </c>
      <c r="AE150" s="55">
        <v>0</v>
      </c>
      <c r="AF150" s="55"/>
      <c r="AG150" s="55">
        <v>111818.98213248</v>
      </c>
      <c r="AH150" s="55">
        <v>0</v>
      </c>
      <c r="AI150" s="55">
        <v>5736153.9664295996</v>
      </c>
      <c r="AJ150" s="55">
        <v>0</v>
      </c>
      <c r="AK150" s="55">
        <v>2978257.4163942598</v>
      </c>
      <c r="AL150" s="55">
        <v>3212334.9611770199</v>
      </c>
      <c r="AM150" s="55">
        <v>1951986.4567</v>
      </c>
      <c r="AN150" s="63">
        <v>207114.3051</v>
      </c>
      <c r="AO150" s="64">
        <v>397019.85661148001</v>
      </c>
      <c r="AP150" s="61">
        <f>+N150-'Приложение №2'!E150</f>
        <v>0</v>
      </c>
      <c r="AQ150" s="1">
        <v>468456.03</v>
      </c>
      <c r="AR150" s="3">
        <f t="shared" si="47"/>
        <v>123022.2</v>
      </c>
      <c r="AS150" s="3">
        <f>+(K150*10+L150*20)*12*30-171359.03</f>
        <v>4170600.97</v>
      </c>
      <c r="AT150" s="6">
        <f t="shared" si="45"/>
        <v>-3165635.5146360002</v>
      </c>
      <c r="AW150" s="62">
        <f t="shared" si="48"/>
        <v>1052989.615364</v>
      </c>
      <c r="AX150" s="55"/>
      <c r="AY150" s="55">
        <v>624846.18000000005</v>
      </c>
      <c r="AZ150" s="55"/>
      <c r="BA150" s="55">
        <v>317481.74</v>
      </c>
      <c r="BB150" s="55">
        <v>0</v>
      </c>
      <c r="BC150" s="55"/>
      <c r="BD150" s="55"/>
      <c r="BE150" s="55">
        <v>0</v>
      </c>
      <c r="BF150" s="55"/>
      <c r="BG150" s="55">
        <v>0</v>
      </c>
      <c r="BH150" s="55"/>
      <c r="BI150" s="55"/>
      <c r="BJ150" s="55"/>
      <c r="BK150" s="63"/>
      <c r="BL150" s="64">
        <v>110661.695364</v>
      </c>
      <c r="BM150" s="8">
        <f t="shared" si="49"/>
        <v>1052989.615364</v>
      </c>
      <c r="BN150" s="55"/>
      <c r="BO150" s="55">
        <v>624846.18000000005</v>
      </c>
      <c r="BP150" s="71"/>
      <c r="BQ150" s="55">
        <v>317481.74</v>
      </c>
      <c r="BR150" s="55">
        <v>0</v>
      </c>
      <c r="BS150" s="55"/>
      <c r="BT150" s="55"/>
      <c r="BU150" s="55">
        <v>0</v>
      </c>
      <c r="BV150" s="55"/>
      <c r="BW150" s="55">
        <v>0</v>
      </c>
      <c r="BX150" s="55"/>
      <c r="BY150" s="55"/>
      <c r="BZ150" s="55"/>
      <c r="CA150" s="63"/>
      <c r="CB150" s="64">
        <v>110661.695364</v>
      </c>
    </row>
    <row r="151" spans="1:80" x14ac:dyDescent="0.25">
      <c r="A151" s="52">
        <f t="shared" si="50"/>
        <v>134</v>
      </c>
      <c r="B151" s="53">
        <f t="shared" si="51"/>
        <v>134</v>
      </c>
      <c r="C151" s="53" t="s">
        <v>218</v>
      </c>
      <c r="D151" s="53" t="s">
        <v>222</v>
      </c>
      <c r="E151" s="54">
        <v>1974</v>
      </c>
      <c r="F151" s="54">
        <v>1974</v>
      </c>
      <c r="G151" s="54" t="s">
        <v>64</v>
      </c>
      <c r="H151" s="54">
        <v>4</v>
      </c>
      <c r="I151" s="54">
        <v>3</v>
      </c>
      <c r="J151" s="55">
        <v>1380.9</v>
      </c>
      <c r="K151" s="55">
        <v>1261.0999999999999</v>
      </c>
      <c r="L151" s="55">
        <v>0</v>
      </c>
      <c r="M151" s="56">
        <v>43</v>
      </c>
      <c r="N151" s="62">
        <v>1332134.6908183601</v>
      </c>
      <c r="O151" s="55"/>
      <c r="P151" s="63"/>
      <c r="Q151" s="63"/>
      <c r="R151" s="63">
        <v>641924.76</v>
      </c>
      <c r="S151" s="63">
        <v>690209.93081835995</v>
      </c>
      <c r="T151" s="55">
        <v>0</v>
      </c>
      <c r="U151" s="63">
        <v>1056.3275638873699</v>
      </c>
      <c r="V151" s="63">
        <v>1056.3275638873699</v>
      </c>
      <c r="W151" s="59">
        <v>2022</v>
      </c>
      <c r="X151" s="6" t="e">
        <v>#REF!</v>
      </c>
      <c r="Z151" s="62">
        <f t="shared" si="46"/>
        <v>24082184.680000003</v>
      </c>
      <c r="AA151" s="55">
        <v>3459603.0948952199</v>
      </c>
      <c r="AB151" s="55">
        <v>1248096.36492156</v>
      </c>
      <c r="AC151" s="55">
        <v>1303954.6600395001</v>
      </c>
      <c r="AD151" s="55">
        <v>816386.97648732003</v>
      </c>
      <c r="AE151" s="55">
        <v>0</v>
      </c>
      <c r="AF151" s="55"/>
      <c r="AG151" s="55">
        <v>124822.049583</v>
      </c>
      <c r="AH151" s="55">
        <v>0</v>
      </c>
      <c r="AI151" s="55">
        <v>6403192.8421986001</v>
      </c>
      <c r="AJ151" s="55">
        <v>838109.10532440001</v>
      </c>
      <c r="AK151" s="55">
        <v>3324589.38292698</v>
      </c>
      <c r="AL151" s="55">
        <v>3585887.05339116</v>
      </c>
      <c r="AM151" s="55">
        <v>2275205.5373</v>
      </c>
      <c r="AN151" s="63">
        <v>240821.8468</v>
      </c>
      <c r="AO151" s="64">
        <v>461515.76613225997</v>
      </c>
      <c r="AP151" s="61">
        <f>+N151-'Приложение №2'!E151</f>
        <v>0</v>
      </c>
      <c r="AQ151" s="1">
        <v>513292.56</v>
      </c>
      <c r="AR151" s="3">
        <f t="shared" si="47"/>
        <v>128632.2</v>
      </c>
      <c r="AS151" s="3">
        <f>+(K151*10+L151*20)*12*30</f>
        <v>4539960</v>
      </c>
      <c r="AT151" s="6">
        <f t="shared" ref="AT151:AT182" si="52">+S151-AS151</f>
        <v>-3849750.0691816402</v>
      </c>
      <c r="AW151" s="62">
        <f t="shared" si="48"/>
        <v>1332134.6908183601</v>
      </c>
      <c r="AX151" s="55"/>
      <c r="AY151" s="55">
        <v>691727.99</v>
      </c>
      <c r="AZ151" s="55"/>
      <c r="BA151" s="55">
        <v>374090.08</v>
      </c>
      <c r="BB151" s="55">
        <v>0</v>
      </c>
      <c r="BC151" s="55"/>
      <c r="BD151" s="55"/>
      <c r="BE151" s="55">
        <v>0</v>
      </c>
      <c r="BF151" s="55"/>
      <c r="BG151" s="55"/>
      <c r="BH151" s="55"/>
      <c r="BJ151" s="55"/>
      <c r="BK151" s="63"/>
      <c r="BL151" s="64">
        <v>266316.62081836001</v>
      </c>
      <c r="BM151" s="8">
        <f t="shared" si="49"/>
        <v>1332134.6908183601</v>
      </c>
      <c r="BN151" s="55"/>
      <c r="BO151" s="55">
        <v>691727.99</v>
      </c>
      <c r="BP151" s="71"/>
      <c r="BQ151" s="55">
        <v>374090.08</v>
      </c>
      <c r="BR151" s="55">
        <v>0</v>
      </c>
      <c r="BS151" s="55"/>
      <c r="BT151" s="55"/>
      <c r="BU151" s="55">
        <v>0</v>
      </c>
      <c r="BV151" s="55"/>
      <c r="BW151" s="55"/>
      <c r="BX151" s="55"/>
      <c r="BZ151" s="55"/>
      <c r="CA151" s="63"/>
      <c r="CB151" s="64">
        <v>266316.62081836001</v>
      </c>
    </row>
    <row r="152" spans="1:80" x14ac:dyDescent="0.25">
      <c r="A152" s="52">
        <f t="shared" si="50"/>
        <v>135</v>
      </c>
      <c r="B152" s="53">
        <f t="shared" si="51"/>
        <v>135</v>
      </c>
      <c r="C152" s="53" t="s">
        <v>218</v>
      </c>
      <c r="D152" s="53" t="s">
        <v>223</v>
      </c>
      <c r="E152" s="54">
        <v>1962</v>
      </c>
      <c r="F152" s="54">
        <v>1962</v>
      </c>
      <c r="G152" s="54" t="s">
        <v>64</v>
      </c>
      <c r="H152" s="54">
        <v>3</v>
      </c>
      <c r="I152" s="54">
        <v>2</v>
      </c>
      <c r="J152" s="55">
        <v>937.1</v>
      </c>
      <c r="K152" s="55">
        <v>723.7</v>
      </c>
      <c r="L152" s="55">
        <v>213.4</v>
      </c>
      <c r="M152" s="56">
        <v>26</v>
      </c>
      <c r="N152" s="62">
        <v>1168589.4982479999</v>
      </c>
      <c r="O152" s="55"/>
      <c r="P152" s="63">
        <v>83339.016051200204</v>
      </c>
      <c r="Q152" s="63"/>
      <c r="R152" s="63">
        <v>193257.44</v>
      </c>
      <c r="S152" s="63">
        <v>891993.0421968</v>
      </c>
      <c r="T152" s="55">
        <v>0</v>
      </c>
      <c r="U152" s="63">
        <v>1247.0275298772799</v>
      </c>
      <c r="V152" s="63">
        <v>1247.0275298772799</v>
      </c>
      <c r="W152" s="59">
        <v>2022</v>
      </c>
      <c r="X152" s="6" t="e">
        <v>#REF!</v>
      </c>
      <c r="Z152" s="62">
        <f t="shared" si="46"/>
        <v>26675784</v>
      </c>
      <c r="AA152" s="55">
        <v>2404073.9634912</v>
      </c>
      <c r="AB152" s="55">
        <v>1462843.1901888</v>
      </c>
      <c r="AC152" s="55">
        <v>689312.71110239998</v>
      </c>
      <c r="AD152" s="55">
        <v>587431.31489279994</v>
      </c>
      <c r="AE152" s="55">
        <v>0</v>
      </c>
      <c r="AF152" s="55"/>
      <c r="AG152" s="55">
        <v>227878.8628032</v>
      </c>
      <c r="AH152" s="55">
        <v>0</v>
      </c>
      <c r="AI152" s="55">
        <v>6954572.4655680005</v>
      </c>
      <c r="AJ152" s="55">
        <v>0</v>
      </c>
      <c r="AK152" s="55">
        <v>5686511.6200032001</v>
      </c>
      <c r="AL152" s="55">
        <v>5351302.3282992002</v>
      </c>
      <c r="AM152" s="55">
        <v>2534177.952</v>
      </c>
      <c r="AN152" s="63">
        <v>266757.84000000003</v>
      </c>
      <c r="AO152" s="64">
        <v>510921.7516512</v>
      </c>
      <c r="AP152" s="61">
        <f>+N152-'Приложение №2'!E152</f>
        <v>0</v>
      </c>
      <c r="AQ152" s="1">
        <f>294416.56-218510.12</f>
        <v>75906.44</v>
      </c>
      <c r="AR152" s="3">
        <f t="shared" si="47"/>
        <v>117351</v>
      </c>
      <c r="AS152" s="3">
        <f>+(K152*10+L152*20)*12*30</f>
        <v>4141800</v>
      </c>
      <c r="AT152" s="6">
        <f t="shared" si="52"/>
        <v>-3249806.9578032</v>
      </c>
      <c r="AW152" s="62">
        <f t="shared" si="48"/>
        <v>1168589.4982480002</v>
      </c>
      <c r="AX152" s="55"/>
      <c r="AY152" s="55">
        <v>552436.80000000005</v>
      </c>
      <c r="AZ152" s="55"/>
      <c r="BA152" s="55">
        <v>297229.53999999998</v>
      </c>
      <c r="BB152" s="55">
        <v>0</v>
      </c>
      <c r="BC152" s="55"/>
      <c r="BD152" s="55"/>
      <c r="BE152" s="55">
        <v>0</v>
      </c>
      <c r="BF152" s="55"/>
      <c r="BG152" s="55">
        <v>0</v>
      </c>
      <c r="BH152" s="55"/>
      <c r="BJ152" s="55"/>
      <c r="BK152" s="63"/>
      <c r="BL152" s="64">
        <v>318923.15824800002</v>
      </c>
      <c r="BM152" s="8">
        <f t="shared" si="49"/>
        <v>1168589.4982480002</v>
      </c>
      <c r="BN152" s="55"/>
      <c r="BO152" s="55">
        <v>552436.80000000005</v>
      </c>
      <c r="BP152" s="71"/>
      <c r="BQ152" s="55">
        <v>297229.53999999998</v>
      </c>
      <c r="BR152" s="55">
        <v>0</v>
      </c>
      <c r="BS152" s="55"/>
      <c r="BT152" s="55"/>
      <c r="BU152" s="55">
        <v>0</v>
      </c>
      <c r="BV152" s="55"/>
      <c r="BW152" s="55">
        <v>0</v>
      </c>
      <c r="BX152" s="55"/>
      <c r="BZ152" s="55"/>
      <c r="CA152" s="63"/>
      <c r="CB152" s="64">
        <v>318923.15824800002</v>
      </c>
    </row>
    <row r="153" spans="1:80" x14ac:dyDescent="0.25">
      <c r="A153" s="52">
        <f t="shared" si="50"/>
        <v>136</v>
      </c>
      <c r="B153" s="53">
        <f t="shared" si="51"/>
        <v>136</v>
      </c>
      <c r="C153" s="53" t="s">
        <v>224</v>
      </c>
      <c r="D153" s="53" t="s">
        <v>225</v>
      </c>
      <c r="E153" s="54">
        <v>1993</v>
      </c>
      <c r="F153" s="54">
        <v>2015</v>
      </c>
      <c r="G153" s="54" t="s">
        <v>64</v>
      </c>
      <c r="H153" s="54">
        <v>4</v>
      </c>
      <c r="I153" s="54">
        <v>2</v>
      </c>
      <c r="J153" s="55">
        <v>2573</v>
      </c>
      <c r="K153" s="55">
        <v>2088.4</v>
      </c>
      <c r="L153" s="55">
        <v>299.89999999999998</v>
      </c>
      <c r="M153" s="56">
        <v>79</v>
      </c>
      <c r="N153" s="62">
        <v>2714987.2110886802</v>
      </c>
      <c r="O153" s="55"/>
      <c r="P153" s="63"/>
      <c r="Q153" s="63"/>
      <c r="R153" s="63">
        <v>897791.14</v>
      </c>
      <c r="S153" s="63">
        <v>1817196.0710886801</v>
      </c>
      <c r="T153" s="55">
        <v>0</v>
      </c>
      <c r="U153" s="63">
        <v>1136.7865055012701</v>
      </c>
      <c r="V153" s="63">
        <v>1136.7865055012701</v>
      </c>
      <c r="W153" s="59">
        <v>2022</v>
      </c>
      <c r="X153" s="6" t="e">
        <v>#REF!</v>
      </c>
      <c r="Y153" s="1" t="s">
        <v>226</v>
      </c>
      <c r="Z153" s="62">
        <f t="shared" si="46"/>
        <v>18343019.5</v>
      </c>
      <c r="AA153" s="55">
        <v>6746829.5476327203</v>
      </c>
      <c r="AB153" s="55">
        <v>0</v>
      </c>
      <c r="AC153" s="55">
        <v>2584833.4548157798</v>
      </c>
      <c r="AD153" s="55">
        <v>0</v>
      </c>
      <c r="AE153" s="55">
        <v>0</v>
      </c>
      <c r="AF153" s="55"/>
      <c r="AG153" s="55">
        <v>222731.80747860001</v>
      </c>
      <c r="AH153" s="55">
        <v>0</v>
      </c>
      <c r="AI153" s="55">
        <v>0</v>
      </c>
      <c r="AJ153" s="55">
        <v>0</v>
      </c>
      <c r="AK153" s="55">
        <v>6590268.3256670404</v>
      </c>
      <c r="AL153" s="55">
        <v>0</v>
      </c>
      <c r="AM153" s="55">
        <v>1661875.0851</v>
      </c>
      <c r="AN153" s="63">
        <v>183430.19500000001</v>
      </c>
      <c r="AO153" s="64">
        <v>353051.08430585999</v>
      </c>
      <c r="AP153" s="61">
        <f>+N153-'Приложение №2'!E153</f>
        <v>0</v>
      </c>
      <c r="AQ153" s="1">
        <f>1272443.19-648848.45</f>
        <v>623594.74</v>
      </c>
      <c r="AR153" s="3">
        <f t="shared" si="47"/>
        <v>274196.39999999997</v>
      </c>
      <c r="AS153" s="3">
        <f>+(K153*10+L153*20)*12*30-5206204.7</f>
        <v>4471315.3</v>
      </c>
      <c r="AT153" s="6">
        <f t="shared" si="52"/>
        <v>-2654119.2289113197</v>
      </c>
      <c r="AW153" s="62">
        <f t="shared" si="48"/>
        <v>2714987.2110886802</v>
      </c>
      <c r="AX153" s="55">
        <v>2562577.02</v>
      </c>
      <c r="AY153" s="55">
        <v>0</v>
      </c>
      <c r="AZ153" s="55"/>
      <c r="BA153" s="55">
        <v>0</v>
      </c>
      <c r="BB153" s="55">
        <v>0</v>
      </c>
      <c r="BC153" s="55"/>
      <c r="BD153" s="55"/>
      <c r="BE153" s="55">
        <v>0</v>
      </c>
      <c r="BF153" s="55">
        <v>0</v>
      </c>
      <c r="BG153" s="55">
        <v>0</v>
      </c>
      <c r="BH153" s="55"/>
      <c r="BI153" s="55">
        <v>0</v>
      </c>
      <c r="BJ153" s="55"/>
      <c r="BK153" s="63"/>
      <c r="BL153" s="64">
        <v>152410.19108868</v>
      </c>
      <c r="BM153" s="8">
        <f t="shared" si="49"/>
        <v>2714987.2110886802</v>
      </c>
      <c r="BN153" s="55">
        <v>2562577.02</v>
      </c>
      <c r="BO153" s="55">
        <v>0</v>
      </c>
      <c r="BP153" s="71"/>
      <c r="BQ153" s="55">
        <v>0</v>
      </c>
      <c r="BR153" s="55">
        <v>0</v>
      </c>
      <c r="BS153" s="55"/>
      <c r="BT153" s="55"/>
      <c r="BU153" s="55">
        <v>0</v>
      </c>
      <c r="BV153" s="55">
        <v>0</v>
      </c>
      <c r="BW153" s="55">
        <v>0</v>
      </c>
      <c r="BX153" s="55"/>
      <c r="BY153" s="55">
        <v>0</v>
      </c>
      <c r="BZ153" s="55"/>
      <c r="CA153" s="63"/>
      <c r="CB153" s="64">
        <v>152410.19108868</v>
      </c>
    </row>
    <row r="154" spans="1:80" x14ac:dyDescent="0.25">
      <c r="A154" s="52">
        <f t="shared" si="50"/>
        <v>137</v>
      </c>
      <c r="B154" s="53">
        <f t="shared" si="51"/>
        <v>137</v>
      </c>
      <c r="C154" s="53" t="s">
        <v>224</v>
      </c>
      <c r="D154" s="53" t="s">
        <v>227</v>
      </c>
      <c r="E154" s="54">
        <v>1989</v>
      </c>
      <c r="F154" s="54">
        <v>2014</v>
      </c>
      <c r="G154" s="54" t="s">
        <v>64</v>
      </c>
      <c r="H154" s="54">
        <v>9</v>
      </c>
      <c r="I154" s="54">
        <v>3</v>
      </c>
      <c r="J154" s="55">
        <v>6626.1</v>
      </c>
      <c r="K154" s="55">
        <v>6102.5</v>
      </c>
      <c r="L154" s="55">
        <v>67.8</v>
      </c>
      <c r="M154" s="56">
        <v>265</v>
      </c>
      <c r="N154" s="57">
        <v>49829681.060927197</v>
      </c>
      <c r="O154" s="55"/>
      <c r="P154" s="7"/>
      <c r="Q154" s="63"/>
      <c r="R154" s="63">
        <v>1277946.27</v>
      </c>
      <c r="S154" s="63">
        <v>29746469.16</v>
      </c>
      <c r="T154" s="63">
        <v>18805265.630927201</v>
      </c>
      <c r="U154" s="55">
        <v>8075.7306874750302</v>
      </c>
      <c r="V154" s="55">
        <v>8075.7306874750302</v>
      </c>
      <c r="W154" s="59">
        <v>2022</v>
      </c>
      <c r="X154" s="6" t="e">
        <v>#REF!</v>
      </c>
      <c r="Z154" s="62">
        <f t="shared" si="46"/>
        <v>133828117.43999989</v>
      </c>
      <c r="AA154" s="55">
        <v>13963940.4881831</v>
      </c>
      <c r="AB154" s="55">
        <v>9583521.8977096193</v>
      </c>
      <c r="AC154" s="55">
        <v>5833663.0608244799</v>
      </c>
      <c r="AD154" s="55">
        <v>5263338.7413885603</v>
      </c>
      <c r="AE154" s="55">
        <v>0</v>
      </c>
      <c r="AF154" s="55"/>
      <c r="AG154" s="55">
        <v>671777.6317728</v>
      </c>
      <c r="AH154" s="55">
        <v>0</v>
      </c>
      <c r="AI154" s="55">
        <v>6811959.918141</v>
      </c>
      <c r="AJ154" s="55">
        <v>0</v>
      </c>
      <c r="AK154" s="55">
        <v>59138470.018736601</v>
      </c>
      <c r="AL154" s="55">
        <v>15552139.698891999</v>
      </c>
      <c r="AM154" s="55">
        <v>13116434.001499999</v>
      </c>
      <c r="AN154" s="63">
        <v>1338281.1743999999</v>
      </c>
      <c r="AO154" s="64">
        <v>2554590.8084517401</v>
      </c>
      <c r="AP154" s="61">
        <f>+N154-'Приложение №2'!E154</f>
        <v>0</v>
      </c>
      <c r="AQ154" s="65">
        <v>3444334.74</v>
      </c>
      <c r="AR154" s="3">
        <f>+(K154*13.29+L154*22.52)*12*0.85</f>
        <v>842816.62619999982</v>
      </c>
      <c r="AS154" s="3">
        <f>+(K154*13.29+L154*22.52)*12*30</f>
        <v>29746469.159999996</v>
      </c>
      <c r="AT154" s="6">
        <f t="shared" si="52"/>
        <v>0</v>
      </c>
      <c r="AW154" s="62">
        <f t="shared" si="48"/>
        <v>49829681.060927205</v>
      </c>
      <c r="AX154" s="55"/>
      <c r="AY154" s="55">
        <v>8054732.7000000002</v>
      </c>
      <c r="AZ154" s="55">
        <v>3326392.27</v>
      </c>
      <c r="BA154" s="55"/>
      <c r="BB154" s="55"/>
      <c r="BC154" s="55"/>
      <c r="BD154" s="55"/>
      <c r="BE154" s="55"/>
      <c r="BF154" s="55">
        <v>6383560.5599999996</v>
      </c>
      <c r="BG154" s="55">
        <v>0</v>
      </c>
      <c r="BH154" s="55">
        <v>14384597.800000001</v>
      </c>
      <c r="BI154" s="55">
        <v>14838033.07</v>
      </c>
      <c r="BJ154" s="55"/>
      <c r="BK154" s="63"/>
      <c r="BL154" s="64">
        <v>2842364.6609272002</v>
      </c>
      <c r="BM154" s="8">
        <f t="shared" si="49"/>
        <v>49829681.060927205</v>
      </c>
      <c r="BN154" s="55"/>
      <c r="BO154" s="55">
        <v>8054732.7000000002</v>
      </c>
      <c r="BP154" s="71">
        <v>3326392.27</v>
      </c>
      <c r="BQ154" s="55"/>
      <c r="BR154" s="55"/>
      <c r="BS154" s="55"/>
      <c r="BT154" s="55"/>
      <c r="BU154" s="55"/>
      <c r="BV154" s="55">
        <v>6383560.5599999996</v>
      </c>
      <c r="BW154" s="55">
        <v>0</v>
      </c>
      <c r="BX154" s="55">
        <v>14384597.800000001</v>
      </c>
      <c r="BY154" s="55">
        <v>14838033.07</v>
      </c>
      <c r="BZ154" s="55"/>
      <c r="CA154" s="63"/>
      <c r="CB154" s="64">
        <v>2842364.6609272002</v>
      </c>
    </row>
    <row r="155" spans="1:80" s="69" customFormat="1" x14ac:dyDescent="0.25">
      <c r="A155" s="52">
        <f t="shared" si="50"/>
        <v>138</v>
      </c>
      <c r="B155" s="53">
        <f t="shared" si="51"/>
        <v>138</v>
      </c>
      <c r="C155" s="53" t="s">
        <v>224</v>
      </c>
      <c r="D155" s="53" t="s">
        <v>228</v>
      </c>
      <c r="E155" s="54" t="s">
        <v>122</v>
      </c>
      <c r="F155" s="54"/>
      <c r="G155" s="54" t="s">
        <v>64</v>
      </c>
      <c r="H155" s="54" t="s">
        <v>123</v>
      </c>
      <c r="I155" s="54" t="s">
        <v>229</v>
      </c>
      <c r="J155" s="55">
        <v>2294.4</v>
      </c>
      <c r="K155" s="55">
        <v>2020</v>
      </c>
      <c r="L155" s="55">
        <v>0</v>
      </c>
      <c r="M155" s="56">
        <v>107</v>
      </c>
      <c r="N155" s="62">
        <v>3072511.99393012</v>
      </c>
      <c r="O155" s="55">
        <v>0</v>
      </c>
      <c r="P155" s="63"/>
      <c r="Q155" s="63">
        <v>0</v>
      </c>
      <c r="R155" s="63">
        <v>1430983.8</v>
      </c>
      <c r="S155" s="63">
        <v>1641528.19393012</v>
      </c>
      <c r="T155" s="55">
        <v>0</v>
      </c>
      <c r="U155" s="63">
        <v>1521.0455415495701</v>
      </c>
      <c r="V155" s="63">
        <v>1172.2830200640001</v>
      </c>
      <c r="W155" s="59">
        <v>2022</v>
      </c>
      <c r="X155" s="69">
        <v>930783.73</v>
      </c>
      <c r="Y155" s="69">
        <f>+(K155*12.08+L155*20.47)*12</f>
        <v>292819.19999999995</v>
      </c>
      <c r="AA155" s="70" t="e">
        <v>#REF!</v>
      </c>
      <c r="AD155" s="70" t="e">
        <v>#REF!</v>
      </c>
      <c r="AP155" s="61">
        <f>+N155-'Приложение №2'!E155</f>
        <v>0</v>
      </c>
      <c r="AQ155" s="69">
        <v>1157156.6399999999</v>
      </c>
      <c r="AR155" s="3">
        <f>+(K155*13.29+L155*22.52)*12*0.85</f>
        <v>273827.15999999997</v>
      </c>
      <c r="AS155" s="3">
        <f>+(K155*13.29+L155*22.52)*12*30</f>
        <v>9664488</v>
      </c>
      <c r="AT155" s="6">
        <f t="shared" si="52"/>
        <v>-8022959.8060698798</v>
      </c>
      <c r="AW155" s="62">
        <f t="shared" si="48"/>
        <v>3072511.9939301223</v>
      </c>
      <c r="AX155" s="55"/>
      <c r="AY155" s="55"/>
      <c r="AZ155" s="55"/>
      <c r="BA155" s="55"/>
      <c r="BB155" s="55"/>
      <c r="BC155" s="55"/>
      <c r="BD155" s="55"/>
      <c r="BE155" s="55">
        <v>2869496.64</v>
      </c>
      <c r="BF155" s="55"/>
      <c r="BG155" s="55"/>
      <c r="BH155" s="55"/>
      <c r="BI155" s="55"/>
      <c r="BJ155" s="55">
        <v>104919.11907840001</v>
      </c>
      <c r="BK155" s="63">
        <v>24000</v>
      </c>
      <c r="BL155" s="64">
        <v>74096.234851722198</v>
      </c>
      <c r="BM155" s="8">
        <f t="shared" si="49"/>
        <v>3072511.9939301223</v>
      </c>
      <c r="BN155" s="55"/>
      <c r="BO155" s="55"/>
      <c r="BP155" s="71"/>
      <c r="BQ155" s="55"/>
      <c r="BR155" s="55"/>
      <c r="BS155" s="55"/>
      <c r="BT155" s="55"/>
      <c r="BU155" s="55">
        <v>2869496.64</v>
      </c>
      <c r="BV155" s="55"/>
      <c r="BW155" s="55"/>
      <c r="BX155" s="55"/>
      <c r="BY155" s="55"/>
      <c r="BZ155" s="55">
        <v>104919.11907840001</v>
      </c>
      <c r="CA155" s="63">
        <v>24000</v>
      </c>
      <c r="CB155" s="64">
        <v>74096.234851722198</v>
      </c>
    </row>
    <row r="156" spans="1:80" s="69" customFormat="1" x14ac:dyDescent="0.25">
      <c r="A156" s="52">
        <f t="shared" si="50"/>
        <v>139</v>
      </c>
      <c r="B156" s="53">
        <f t="shared" si="51"/>
        <v>139</v>
      </c>
      <c r="C156" s="53" t="s">
        <v>224</v>
      </c>
      <c r="D156" s="53" t="s">
        <v>230</v>
      </c>
      <c r="E156" s="54" t="s">
        <v>122</v>
      </c>
      <c r="F156" s="54"/>
      <c r="G156" s="54" t="s">
        <v>64</v>
      </c>
      <c r="H156" s="54" t="s">
        <v>123</v>
      </c>
      <c r="I156" s="54" t="s">
        <v>229</v>
      </c>
      <c r="J156" s="55">
        <v>2291.6999999999998</v>
      </c>
      <c r="K156" s="55">
        <v>2012</v>
      </c>
      <c r="L156" s="55">
        <v>65.3</v>
      </c>
      <c r="M156" s="56">
        <v>84</v>
      </c>
      <c r="N156" s="62">
        <v>3072474.8899129098</v>
      </c>
      <c r="O156" s="55">
        <v>0</v>
      </c>
      <c r="P156" s="63"/>
      <c r="Q156" s="63">
        <v>0</v>
      </c>
      <c r="R156" s="63">
        <v>1331435.4972000001</v>
      </c>
      <c r="S156" s="63">
        <v>1741039.39271291</v>
      </c>
      <c r="T156" s="55">
        <v>0</v>
      </c>
      <c r="U156" s="63">
        <v>1527.0749949865401</v>
      </c>
      <c r="V156" s="63">
        <v>1172.2830200640001</v>
      </c>
      <c r="W156" s="59">
        <v>2022</v>
      </c>
      <c r="X156" s="69">
        <v>879242.71</v>
      </c>
      <c r="Y156" s="69">
        <f>+(K156*12.08+L156*20.47)*12</f>
        <v>307699.81199999998</v>
      </c>
      <c r="AA156" s="70" t="e">
        <v>#REF!</v>
      </c>
      <c r="AD156" s="70" t="e">
        <v>#REF!</v>
      </c>
      <c r="AP156" s="61">
        <f>+N156-'Приложение №2'!E156</f>
        <v>0</v>
      </c>
      <c r="AQ156" s="69">
        <v>1043693.13</v>
      </c>
      <c r="AR156" s="3">
        <f>+(K156*13.29+L156*22.52)*12*0.85</f>
        <v>287742.36720000004</v>
      </c>
      <c r="AS156" s="3">
        <f>+(K156*13.29+L156*22.52)*12*30</f>
        <v>10155612.960000001</v>
      </c>
      <c r="AT156" s="6">
        <f t="shared" si="52"/>
        <v>-8414573.5672870912</v>
      </c>
      <c r="AW156" s="62">
        <f t="shared" si="48"/>
        <v>3072474.8799129105</v>
      </c>
      <c r="AX156" s="55"/>
      <c r="AY156" s="55"/>
      <c r="AZ156" s="55"/>
      <c r="BA156" s="55"/>
      <c r="BB156" s="55"/>
      <c r="BC156" s="55"/>
      <c r="BD156" s="55"/>
      <c r="BE156" s="55">
        <v>2869496.64</v>
      </c>
      <c r="BF156" s="55"/>
      <c r="BG156" s="55"/>
      <c r="BH156" s="55"/>
      <c r="BI156" s="55"/>
      <c r="BJ156" s="55">
        <v>104881.1934528</v>
      </c>
      <c r="BK156" s="63">
        <v>24000</v>
      </c>
      <c r="BL156" s="64">
        <v>74097.046460110098</v>
      </c>
      <c r="BM156" s="8">
        <f t="shared" si="49"/>
        <v>3072474.8899129103</v>
      </c>
      <c r="BN156" s="55"/>
      <c r="BO156" s="55"/>
      <c r="BP156" s="71"/>
      <c r="BQ156" s="55"/>
      <c r="BR156" s="55"/>
      <c r="BS156" s="55"/>
      <c r="BT156" s="55"/>
      <c r="BU156" s="55">
        <v>2869496.65</v>
      </c>
      <c r="BV156" s="55"/>
      <c r="BW156" s="55"/>
      <c r="BX156" s="55"/>
      <c r="BY156" s="55"/>
      <c r="BZ156" s="55">
        <v>104881.1934528</v>
      </c>
      <c r="CA156" s="63">
        <v>24000</v>
      </c>
      <c r="CB156" s="64">
        <v>74097.046460110098</v>
      </c>
    </row>
    <row r="157" spans="1:80" s="69" customFormat="1" x14ac:dyDescent="0.25">
      <c r="A157" s="52">
        <f t="shared" si="50"/>
        <v>140</v>
      </c>
      <c r="B157" s="53">
        <f t="shared" si="51"/>
        <v>140</v>
      </c>
      <c r="C157" s="53" t="s">
        <v>224</v>
      </c>
      <c r="D157" s="53" t="s">
        <v>231</v>
      </c>
      <c r="E157" s="54" t="s">
        <v>232</v>
      </c>
      <c r="F157" s="54"/>
      <c r="G157" s="54" t="s">
        <v>64</v>
      </c>
      <c r="H157" s="54" t="s">
        <v>123</v>
      </c>
      <c r="I157" s="54" t="s">
        <v>229</v>
      </c>
      <c r="J157" s="55">
        <v>2263.9</v>
      </c>
      <c r="K157" s="55">
        <v>2004.44</v>
      </c>
      <c r="L157" s="55">
        <v>0</v>
      </c>
      <c r="M157" s="56">
        <v>82</v>
      </c>
      <c r="N157" s="62">
        <v>3072835.2361071901</v>
      </c>
      <c r="O157" s="55">
        <v>0</v>
      </c>
      <c r="P157" s="63"/>
      <c r="Q157" s="63">
        <v>0</v>
      </c>
      <c r="R157" s="63">
        <v>1305135.01752</v>
      </c>
      <c r="S157" s="63">
        <v>1767700.2185871899</v>
      </c>
      <c r="T157" s="55">
        <v>0</v>
      </c>
      <c r="U157" s="63">
        <v>1533.01432624932</v>
      </c>
      <c r="V157" s="63">
        <v>1172.2830200640001</v>
      </c>
      <c r="W157" s="59">
        <v>2022</v>
      </c>
      <c r="X157" s="69">
        <v>806093.85</v>
      </c>
      <c r="Y157" s="69">
        <f>+(K157*12.08+L157*20.47)*12</f>
        <v>290563.62239999999</v>
      </c>
      <c r="AA157" s="70" t="e">
        <v>#REF!</v>
      </c>
      <c r="AD157" s="70" t="e">
        <v>#REF!</v>
      </c>
      <c r="AP157" s="61">
        <f>+N157-'Приложение №2'!E157</f>
        <v>4.1909515857696533E-9</v>
      </c>
      <c r="AQ157" s="69">
        <v>1033417.14</v>
      </c>
      <c r="AR157" s="3">
        <f>+(K157*13.29+L157*22.52)*12*0.85</f>
        <v>271717.87752000004</v>
      </c>
      <c r="AS157" s="3">
        <f>+(K157*13.29+L157*22.52)*12*30</f>
        <v>9590042.7360000014</v>
      </c>
      <c r="AT157" s="6">
        <f t="shared" si="52"/>
        <v>-7822342.5174128115</v>
      </c>
      <c r="AW157" s="62">
        <f t="shared" si="48"/>
        <v>3072835.2361071859</v>
      </c>
      <c r="AX157" s="55"/>
      <c r="AY157" s="55"/>
      <c r="AZ157" s="55"/>
      <c r="BA157" s="55"/>
      <c r="BB157" s="55"/>
      <c r="BC157" s="55"/>
      <c r="BD157" s="55"/>
      <c r="BE157" s="55">
        <v>2869496.64</v>
      </c>
      <c r="BF157" s="55"/>
      <c r="BG157" s="55"/>
      <c r="BH157" s="55"/>
      <c r="BI157" s="55"/>
      <c r="BJ157" s="55">
        <v>105249.4299072</v>
      </c>
      <c r="BK157" s="63">
        <v>24000</v>
      </c>
      <c r="BL157" s="64">
        <v>74089.166199985906</v>
      </c>
      <c r="BM157" s="8">
        <f t="shared" si="49"/>
        <v>3072835.2361071859</v>
      </c>
      <c r="BN157" s="55"/>
      <c r="BO157" s="55"/>
      <c r="BP157" s="71"/>
      <c r="BQ157" s="55"/>
      <c r="BR157" s="55"/>
      <c r="BS157" s="55"/>
      <c r="BT157" s="55"/>
      <c r="BU157" s="55">
        <v>2869496.64</v>
      </c>
      <c r="BV157" s="55"/>
      <c r="BW157" s="55"/>
      <c r="BX157" s="55"/>
      <c r="BY157" s="55"/>
      <c r="BZ157" s="55">
        <v>105249.4299072</v>
      </c>
      <c r="CA157" s="63">
        <v>24000</v>
      </c>
      <c r="CB157" s="64">
        <v>74089.166199985906</v>
      </c>
    </row>
    <row r="158" spans="1:80" x14ac:dyDescent="0.25">
      <c r="A158" s="52">
        <f t="shared" si="50"/>
        <v>141</v>
      </c>
      <c r="B158" s="53">
        <f t="shared" si="51"/>
        <v>141</v>
      </c>
      <c r="C158" s="53" t="s">
        <v>224</v>
      </c>
      <c r="D158" s="53" t="s">
        <v>233</v>
      </c>
      <c r="E158" s="54">
        <v>1976</v>
      </c>
      <c r="F158" s="54">
        <v>2011</v>
      </c>
      <c r="G158" s="54" t="s">
        <v>64</v>
      </c>
      <c r="H158" s="54">
        <v>5</v>
      </c>
      <c r="I158" s="54">
        <v>3</v>
      </c>
      <c r="J158" s="55">
        <v>4142.3</v>
      </c>
      <c r="K158" s="55">
        <v>3019.79</v>
      </c>
      <c r="L158" s="55">
        <v>533.29999999999995</v>
      </c>
      <c r="M158" s="56">
        <v>117</v>
      </c>
      <c r="N158" s="62">
        <v>6284189.3513380401</v>
      </c>
      <c r="O158" s="55"/>
      <c r="P158" s="63">
        <v>645040.81000000006</v>
      </c>
      <c r="Q158" s="63"/>
      <c r="R158" s="63"/>
      <c r="S158" s="63">
        <v>5639148.5413380396</v>
      </c>
      <c r="T158" s="55">
        <v>0</v>
      </c>
      <c r="U158" s="63">
        <v>1768.65470656191</v>
      </c>
      <c r="V158" s="63">
        <v>1768.65470656191</v>
      </c>
      <c r="W158" s="59">
        <v>2022</v>
      </c>
      <c r="X158" s="6" t="e">
        <v>#REF!</v>
      </c>
      <c r="Z158" s="62">
        <f t="shared" ref="Z158:Z180" si="53">SUM(AA158:AO158)</f>
        <v>14409527.607329961</v>
      </c>
      <c r="AA158" s="55">
        <v>10235799.6520088</v>
      </c>
      <c r="AB158" s="55">
        <v>0</v>
      </c>
      <c r="AC158" s="55">
        <v>0</v>
      </c>
      <c r="AD158" s="55">
        <v>2771852.98</v>
      </c>
      <c r="AE158" s="55">
        <v>0</v>
      </c>
      <c r="AF158" s="55"/>
      <c r="AG158" s="55">
        <v>0</v>
      </c>
      <c r="AH158" s="55">
        <v>0</v>
      </c>
      <c r="AI158" s="55">
        <v>0</v>
      </c>
      <c r="AJ158" s="55">
        <v>0</v>
      </c>
      <c r="AK158" s="55">
        <v>0</v>
      </c>
      <c r="AL158" s="55">
        <v>0</v>
      </c>
      <c r="AM158" s="55">
        <v>977830.47719999996</v>
      </c>
      <c r="AN158" s="63">
        <v>142733.0534</v>
      </c>
      <c r="AO158" s="64">
        <v>281311.44472115999</v>
      </c>
      <c r="AP158" s="61">
        <f>+N158-'Приложение №2'!E158</f>
        <v>0</v>
      </c>
      <c r="AQ158" s="1">
        <v>1203751.1100000001</v>
      </c>
      <c r="AR158" s="3">
        <f>+(K158*10+L158*20)*12*0.85</f>
        <v>416811.78</v>
      </c>
      <c r="AS158" s="3">
        <f>+(K158*10+L158*20)*12*30</f>
        <v>14711004.000000002</v>
      </c>
      <c r="AT158" s="6">
        <f t="shared" si="52"/>
        <v>-9071855.4586619623</v>
      </c>
      <c r="AW158" s="62">
        <f t="shared" si="48"/>
        <v>6284189.3513380401</v>
      </c>
      <c r="AX158" s="55">
        <v>3826027.56</v>
      </c>
      <c r="AY158" s="55">
        <v>0</v>
      </c>
      <c r="AZ158" s="55">
        <v>0</v>
      </c>
      <c r="BA158" s="55">
        <v>2180636.06</v>
      </c>
      <c r="BB158" s="55">
        <v>0</v>
      </c>
      <c r="BC158" s="55"/>
      <c r="BD158" s="55"/>
      <c r="BE158" s="55">
        <v>0</v>
      </c>
      <c r="BF158" s="55">
        <v>0</v>
      </c>
      <c r="BG158" s="55">
        <v>0</v>
      </c>
      <c r="BH158" s="55">
        <v>0</v>
      </c>
      <c r="BI158" s="55">
        <v>0</v>
      </c>
      <c r="BJ158" s="55"/>
      <c r="BK158" s="63"/>
      <c r="BL158" s="64">
        <v>277525.73133803997</v>
      </c>
      <c r="BM158" s="8">
        <f t="shared" si="49"/>
        <v>6284189.3513380401</v>
      </c>
      <c r="BN158" s="55">
        <v>3826027.56</v>
      </c>
      <c r="BO158" s="55">
        <v>0</v>
      </c>
      <c r="BP158" s="71">
        <v>0</v>
      </c>
      <c r="BQ158" s="55">
        <v>2180636.06</v>
      </c>
      <c r="BR158" s="55">
        <v>0</v>
      </c>
      <c r="BS158" s="55"/>
      <c r="BT158" s="55"/>
      <c r="BU158" s="55">
        <v>0</v>
      </c>
      <c r="BV158" s="55">
        <v>0</v>
      </c>
      <c r="BW158" s="55">
        <v>0</v>
      </c>
      <c r="BX158" s="55">
        <v>0</v>
      </c>
      <c r="BY158" s="55">
        <v>0</v>
      </c>
      <c r="BZ158" s="55"/>
      <c r="CA158" s="63"/>
      <c r="CB158" s="64">
        <v>277525.73133803997</v>
      </c>
    </row>
    <row r="159" spans="1:80" x14ac:dyDescent="0.25">
      <c r="A159" s="52">
        <f t="shared" si="50"/>
        <v>142</v>
      </c>
      <c r="B159" s="53">
        <f t="shared" si="51"/>
        <v>142</v>
      </c>
      <c r="C159" s="53" t="s">
        <v>224</v>
      </c>
      <c r="D159" s="53" t="s">
        <v>234</v>
      </c>
      <c r="E159" s="54">
        <v>1986</v>
      </c>
      <c r="F159" s="54">
        <v>2015</v>
      </c>
      <c r="G159" s="54" t="s">
        <v>64</v>
      </c>
      <c r="H159" s="54">
        <v>9</v>
      </c>
      <c r="I159" s="54">
        <v>1</v>
      </c>
      <c r="J159" s="55">
        <v>2267.6999999999998</v>
      </c>
      <c r="K159" s="55">
        <v>1885.78</v>
      </c>
      <c r="L159" s="55">
        <v>353.8</v>
      </c>
      <c r="M159" s="56">
        <v>71</v>
      </c>
      <c r="N159" s="62">
        <v>863296.86591239995</v>
      </c>
      <c r="O159" s="55"/>
      <c r="P159" s="63"/>
      <c r="Q159" s="63"/>
      <c r="R159" s="63">
        <v>80395.895912399996</v>
      </c>
      <c r="S159" s="63">
        <v>782900.97</v>
      </c>
      <c r="T159" s="55">
        <v>0</v>
      </c>
      <c r="U159" s="63">
        <v>385.47266269228999</v>
      </c>
      <c r="V159" s="63">
        <v>385.47266269228999</v>
      </c>
      <c r="W159" s="59">
        <v>2022</v>
      </c>
      <c r="X159" s="6" t="e">
        <v>#REF!</v>
      </c>
      <c r="Z159" s="62">
        <f t="shared" si="53"/>
        <v>4290984.03</v>
      </c>
      <c r="AA159" s="55">
        <v>0</v>
      </c>
      <c r="AB159" s="55">
        <v>0</v>
      </c>
      <c r="AC159" s="55">
        <v>1932684.6731463601</v>
      </c>
      <c r="AD159" s="55">
        <v>1743736.99694124</v>
      </c>
      <c r="AE159" s="55">
        <v>0</v>
      </c>
      <c r="AF159" s="55"/>
      <c r="AG159" s="55">
        <v>0</v>
      </c>
      <c r="AH159" s="55">
        <v>0</v>
      </c>
      <c r="AI159" s="55">
        <v>0</v>
      </c>
      <c r="AJ159" s="55">
        <v>0</v>
      </c>
      <c r="AK159" s="55">
        <v>0</v>
      </c>
      <c r="AL159" s="55">
        <v>0</v>
      </c>
      <c r="AM159" s="55">
        <v>491256.6237</v>
      </c>
      <c r="AN159" s="63">
        <v>42909.840300000003</v>
      </c>
      <c r="AO159" s="64">
        <v>80395.895912399996</v>
      </c>
      <c r="AP159" s="61">
        <f>+N159-'Приложение №2'!E159</f>
        <v>0</v>
      </c>
      <c r="AQ159" s="1">
        <v>1383560.53</v>
      </c>
      <c r="AR159" s="3">
        <f>+(K159*13.29+L159*22.52)*12*0.85</f>
        <v>336901.84044</v>
      </c>
      <c r="AS159" s="3">
        <f>+(K159*13.29+L159*22.52)*12*30-1239264.3</f>
        <v>10651388.891999999</v>
      </c>
      <c r="AT159" s="6">
        <f t="shared" si="52"/>
        <v>-9868487.9219999984</v>
      </c>
      <c r="AW159" s="62">
        <f t="shared" si="48"/>
        <v>863296.86591239995</v>
      </c>
      <c r="AX159" s="55">
        <v>0</v>
      </c>
      <c r="AY159" s="55">
        <v>0</v>
      </c>
      <c r="AZ159" s="55">
        <v>782900.97</v>
      </c>
      <c r="BA159" s="55"/>
      <c r="BB159" s="55">
        <v>0</v>
      </c>
      <c r="BC159" s="55"/>
      <c r="BD159" s="55"/>
      <c r="BE159" s="55">
        <v>0</v>
      </c>
      <c r="BF159" s="55">
        <v>0</v>
      </c>
      <c r="BG159" s="55">
        <v>0</v>
      </c>
      <c r="BH159" s="55">
        <v>0</v>
      </c>
      <c r="BI159" s="55">
        <v>0</v>
      </c>
      <c r="BJ159" s="55"/>
      <c r="BK159" s="63"/>
      <c r="BL159" s="64">
        <v>80395.895912399996</v>
      </c>
      <c r="BM159" s="8">
        <f t="shared" si="49"/>
        <v>863296.86591239995</v>
      </c>
      <c r="BN159" s="55">
        <v>0</v>
      </c>
      <c r="BO159" s="55">
        <v>0</v>
      </c>
      <c r="BP159" s="71">
        <v>782900.97</v>
      </c>
      <c r="BQ159" s="55"/>
      <c r="BR159" s="55">
        <v>0</v>
      </c>
      <c r="BS159" s="55"/>
      <c r="BT159" s="55"/>
      <c r="BU159" s="55">
        <v>0</v>
      </c>
      <c r="BV159" s="55">
        <v>0</v>
      </c>
      <c r="BW159" s="55">
        <v>0</v>
      </c>
      <c r="BX159" s="55">
        <v>0</v>
      </c>
      <c r="BY159" s="55">
        <v>0</v>
      </c>
      <c r="BZ159" s="55"/>
      <c r="CA159" s="63"/>
      <c r="CB159" s="64">
        <v>80395.895912399996</v>
      </c>
    </row>
    <row r="160" spans="1:80" x14ac:dyDescent="0.25">
      <c r="A160" s="52">
        <f t="shared" si="50"/>
        <v>143</v>
      </c>
      <c r="B160" s="53">
        <f t="shared" si="51"/>
        <v>143</v>
      </c>
      <c r="C160" s="53" t="s">
        <v>224</v>
      </c>
      <c r="D160" s="53" t="s">
        <v>235</v>
      </c>
      <c r="E160" s="54">
        <v>1985</v>
      </c>
      <c r="F160" s="54">
        <v>2015</v>
      </c>
      <c r="G160" s="54" t="s">
        <v>64</v>
      </c>
      <c r="H160" s="54">
        <v>9</v>
      </c>
      <c r="I160" s="54">
        <v>1</v>
      </c>
      <c r="J160" s="55">
        <v>2293.5</v>
      </c>
      <c r="K160" s="55">
        <v>1892.9</v>
      </c>
      <c r="L160" s="55">
        <v>103.9</v>
      </c>
      <c r="M160" s="56">
        <v>75</v>
      </c>
      <c r="N160" s="62">
        <v>11321051.292631401</v>
      </c>
      <c r="O160" s="55"/>
      <c r="P160" s="63">
        <v>4582722.4000000004</v>
      </c>
      <c r="Q160" s="63"/>
      <c r="R160" s="63"/>
      <c r="S160" s="63">
        <v>6738328.8926314004</v>
      </c>
      <c r="T160" s="55">
        <v>0</v>
      </c>
      <c r="U160" s="63">
        <v>5669.5970015181301</v>
      </c>
      <c r="V160" s="63">
        <v>5669.5970015181301</v>
      </c>
      <c r="W160" s="59">
        <v>2022</v>
      </c>
      <c r="X160" s="6" t="e">
        <v>#REF!</v>
      </c>
      <c r="Z160" s="62">
        <f t="shared" si="53"/>
        <v>19409539.310000002</v>
      </c>
      <c r="AA160" s="55">
        <v>4657498.8457725001</v>
      </c>
      <c r="AB160" s="55">
        <v>3196464.6551275202</v>
      </c>
      <c r="AC160" s="55">
        <v>1945745.8302928801</v>
      </c>
      <c r="AD160" s="55">
        <v>1755521.2429482001</v>
      </c>
      <c r="AE160" s="55">
        <v>0</v>
      </c>
      <c r="AF160" s="55"/>
      <c r="AG160" s="55">
        <v>224063.08219680001</v>
      </c>
      <c r="AH160" s="55">
        <v>0</v>
      </c>
      <c r="AI160" s="55">
        <v>0</v>
      </c>
      <c r="AJ160" s="55">
        <v>0</v>
      </c>
      <c r="AK160" s="55">
        <v>0</v>
      </c>
      <c r="AL160" s="55">
        <v>5187222.9645671397</v>
      </c>
      <c r="AM160" s="55">
        <v>1877903.9405</v>
      </c>
      <c r="AN160" s="63">
        <v>194095.39309999999</v>
      </c>
      <c r="AO160" s="64">
        <v>371023.35549495998</v>
      </c>
      <c r="AP160" s="61">
        <f>+N160-'Приложение №2'!E160</f>
        <v>0</v>
      </c>
      <c r="AQ160" s="1">
        <v>1237727.3</v>
      </c>
      <c r="AR160" s="3">
        <f>+(K160*13.29+L160*22.52)*12*0.85</f>
        <v>280463.98379999999</v>
      </c>
      <c r="AS160" s="3">
        <f>+(K160*13.29+L160*22.52)*12*30</f>
        <v>9898728.8399999999</v>
      </c>
      <c r="AT160" s="6">
        <f t="shared" si="52"/>
        <v>-3160399.9473685995</v>
      </c>
      <c r="AW160" s="62">
        <f t="shared" si="48"/>
        <v>11321051.292631399</v>
      </c>
      <c r="AX160" s="55">
        <v>3735913.84</v>
      </c>
      <c r="AY160" s="55">
        <v>627030.85</v>
      </c>
      <c r="AZ160" s="55">
        <v>1443652.49</v>
      </c>
      <c r="BA160" s="55">
        <v>1126366.8799999999</v>
      </c>
      <c r="BB160" s="55">
        <v>0</v>
      </c>
      <c r="BC160" s="55"/>
      <c r="BD160" s="55"/>
      <c r="BE160" s="55">
        <v>0</v>
      </c>
      <c r="BF160" s="55">
        <v>0</v>
      </c>
      <c r="BG160" s="55">
        <v>0</v>
      </c>
      <c r="BH160" s="55">
        <v>0</v>
      </c>
      <c r="BI160" s="55">
        <v>4237247.8099999996</v>
      </c>
      <c r="BJ160" s="55"/>
      <c r="BK160" s="63"/>
      <c r="BL160" s="64">
        <v>150839.4226314</v>
      </c>
      <c r="BM160" s="8">
        <f t="shared" si="49"/>
        <v>11321051.292631399</v>
      </c>
      <c r="BN160" s="55">
        <v>3735913.84</v>
      </c>
      <c r="BO160" s="55">
        <v>627030.85</v>
      </c>
      <c r="BP160" s="71">
        <v>1443652.49</v>
      </c>
      <c r="BQ160" s="55">
        <v>1126366.8799999999</v>
      </c>
      <c r="BR160" s="55">
        <v>0</v>
      </c>
      <c r="BS160" s="55"/>
      <c r="BT160" s="55"/>
      <c r="BU160" s="55">
        <v>0</v>
      </c>
      <c r="BV160" s="55">
        <v>0</v>
      </c>
      <c r="BW160" s="55">
        <v>0</v>
      </c>
      <c r="BX160" s="55">
        <v>0</v>
      </c>
      <c r="BY160" s="55">
        <v>4237247.8099999996</v>
      </c>
      <c r="BZ160" s="55"/>
      <c r="CA160" s="63"/>
      <c r="CB160" s="64">
        <v>150839.4226314</v>
      </c>
    </row>
    <row r="161" spans="1:80" x14ac:dyDescent="0.25">
      <c r="A161" s="52">
        <f t="shared" si="50"/>
        <v>144</v>
      </c>
      <c r="B161" s="53">
        <f t="shared" si="51"/>
        <v>144</v>
      </c>
      <c r="C161" s="53" t="s">
        <v>224</v>
      </c>
      <c r="D161" s="53" t="s">
        <v>236</v>
      </c>
      <c r="E161" s="54">
        <v>1975</v>
      </c>
      <c r="F161" s="54">
        <v>2013</v>
      </c>
      <c r="G161" s="54" t="s">
        <v>64</v>
      </c>
      <c r="H161" s="54">
        <v>4</v>
      </c>
      <c r="I161" s="54">
        <v>3</v>
      </c>
      <c r="J161" s="55">
        <v>2231.4</v>
      </c>
      <c r="K161" s="55">
        <v>2050.6999999999998</v>
      </c>
      <c r="L161" s="55">
        <v>57.4</v>
      </c>
      <c r="M161" s="56">
        <v>91</v>
      </c>
      <c r="N161" s="62">
        <v>681605.38</v>
      </c>
      <c r="O161" s="55"/>
      <c r="P161" s="63"/>
      <c r="Q161" s="63"/>
      <c r="R161" s="63"/>
      <c r="S161" s="63">
        <v>681605.38</v>
      </c>
      <c r="T161" s="55">
        <v>0</v>
      </c>
      <c r="U161" s="63">
        <v>323.32687253925297</v>
      </c>
      <c r="V161" s="63">
        <v>323.32687253925297</v>
      </c>
      <c r="W161" s="59">
        <v>2022</v>
      </c>
      <c r="X161" s="6" t="e">
        <v>#REF!</v>
      </c>
      <c r="Z161" s="62">
        <f t="shared" si="53"/>
        <v>31294041.869999997</v>
      </c>
      <c r="AA161" s="55">
        <v>0</v>
      </c>
      <c r="AB161" s="55">
        <v>2153754.7550967</v>
      </c>
      <c r="AC161" s="55">
        <v>2250168.3177518998</v>
      </c>
      <c r="AD161" s="55">
        <v>0</v>
      </c>
      <c r="AE161" s="55">
        <v>0</v>
      </c>
      <c r="AF161" s="55"/>
      <c r="AG161" s="55">
        <v>0</v>
      </c>
      <c r="AH161" s="55">
        <v>0</v>
      </c>
      <c r="AI161" s="55">
        <v>11049571.316473201</v>
      </c>
      <c r="AJ161" s="55">
        <v>0</v>
      </c>
      <c r="AK161" s="55">
        <v>5737009.0626080399</v>
      </c>
      <c r="AL161" s="55">
        <v>6187940.5055416198</v>
      </c>
      <c r="AM161" s="55">
        <v>3003946.3752000001</v>
      </c>
      <c r="AN161" s="63">
        <v>312940.41869999998</v>
      </c>
      <c r="AO161" s="64">
        <v>598711.11862853996</v>
      </c>
      <c r="AP161" s="61">
        <f>+N161-'Приложение №2'!E161</f>
        <v>0</v>
      </c>
      <c r="AQ161" s="1">
        <v>972243.21</v>
      </c>
      <c r="AR161" s="3">
        <f>+(K161*10+L161*20)*12*0.85</f>
        <v>220881</v>
      </c>
      <c r="AS161" s="3">
        <f>+(K161*10+L161*20)*12*30</f>
        <v>7795800</v>
      </c>
      <c r="AT161" s="6">
        <f t="shared" si="52"/>
        <v>-7114194.6200000001</v>
      </c>
      <c r="AW161" s="62">
        <f t="shared" si="48"/>
        <v>681605.38</v>
      </c>
      <c r="AX161" s="55">
        <v>0</v>
      </c>
      <c r="AY161" s="55"/>
      <c r="AZ161" s="55">
        <v>681605.38</v>
      </c>
      <c r="BA161" s="55">
        <v>0</v>
      </c>
      <c r="BB161" s="55">
        <v>0</v>
      </c>
      <c r="BC161" s="55"/>
      <c r="BD161" s="55"/>
      <c r="BE161" s="55">
        <v>0</v>
      </c>
      <c r="BF161" s="55"/>
      <c r="BG161" s="55">
        <v>0</v>
      </c>
      <c r="BH161" s="55"/>
      <c r="BI161" s="55"/>
      <c r="BJ161" s="55"/>
      <c r="BK161" s="63"/>
      <c r="BL161" s="64"/>
      <c r="BM161" s="8">
        <f t="shared" si="49"/>
        <v>681605.38</v>
      </c>
      <c r="BN161" s="55">
        <v>0</v>
      </c>
      <c r="BO161" s="55"/>
      <c r="BP161" s="71">
        <v>681605.38</v>
      </c>
      <c r="BQ161" s="55">
        <v>0</v>
      </c>
      <c r="BR161" s="55">
        <v>0</v>
      </c>
      <c r="BS161" s="55"/>
      <c r="BT161" s="55"/>
      <c r="BU161" s="55">
        <v>0</v>
      </c>
      <c r="BV161" s="55"/>
      <c r="BW161" s="55">
        <v>0</v>
      </c>
      <c r="BX161" s="55"/>
      <c r="BY161" s="55"/>
      <c r="BZ161" s="55"/>
      <c r="CA161" s="63"/>
      <c r="CB161" s="64"/>
    </row>
    <row r="162" spans="1:80" x14ac:dyDescent="0.25">
      <c r="A162" s="52">
        <f t="shared" si="50"/>
        <v>145</v>
      </c>
      <c r="B162" s="53">
        <f t="shared" si="51"/>
        <v>145</v>
      </c>
      <c r="C162" s="53" t="s">
        <v>224</v>
      </c>
      <c r="D162" s="53" t="s">
        <v>237</v>
      </c>
      <c r="E162" s="54">
        <v>1974</v>
      </c>
      <c r="F162" s="54">
        <v>2014</v>
      </c>
      <c r="G162" s="54" t="s">
        <v>64</v>
      </c>
      <c r="H162" s="54">
        <v>4</v>
      </c>
      <c r="I162" s="54">
        <v>6</v>
      </c>
      <c r="J162" s="55">
        <v>4464.7</v>
      </c>
      <c r="K162" s="55">
        <v>4072.9</v>
      </c>
      <c r="L162" s="55">
        <v>35.1</v>
      </c>
      <c r="M162" s="56">
        <v>161</v>
      </c>
      <c r="N162" s="62">
        <v>2689617.46</v>
      </c>
      <c r="O162" s="55"/>
      <c r="P162" s="63">
        <v>1182697.55</v>
      </c>
      <c r="Q162" s="63"/>
      <c r="R162" s="63">
        <v>1506919.91</v>
      </c>
      <c r="S162" s="63"/>
      <c r="T162" s="55">
        <v>0</v>
      </c>
      <c r="U162" s="63">
        <v>654.72674294060403</v>
      </c>
      <c r="V162" s="63">
        <v>654.72674294060403</v>
      </c>
      <c r="W162" s="59">
        <v>2022</v>
      </c>
      <c r="X162" s="6" t="e">
        <v>#REF!</v>
      </c>
      <c r="Z162" s="62">
        <f t="shared" si="53"/>
        <v>5164492.4899999993</v>
      </c>
      <c r="AA162" s="55">
        <v>0</v>
      </c>
      <c r="AB162" s="55">
        <v>0</v>
      </c>
      <c r="AC162" s="55">
        <v>4498035.3921354599</v>
      </c>
      <c r="AD162" s="55">
        <v>0</v>
      </c>
      <c r="AE162" s="55">
        <v>0</v>
      </c>
      <c r="AF162" s="55"/>
      <c r="AG162" s="55">
        <v>0</v>
      </c>
      <c r="AH162" s="55">
        <v>0</v>
      </c>
      <c r="AI162" s="55">
        <v>0</v>
      </c>
      <c r="AJ162" s="55">
        <v>0</v>
      </c>
      <c r="AK162" s="55">
        <v>0</v>
      </c>
      <c r="AL162" s="55">
        <v>0</v>
      </c>
      <c r="AM162" s="55">
        <v>516449.24900000001</v>
      </c>
      <c r="AN162" s="63">
        <v>51644.924899999998</v>
      </c>
      <c r="AO162" s="64">
        <v>98362.923964539994</v>
      </c>
      <c r="AP162" s="61">
        <f>+N162-'Приложение №2'!E162</f>
        <v>0</v>
      </c>
      <c r="AQ162" s="1">
        <v>1783982.53</v>
      </c>
      <c r="AR162" s="3">
        <f>+(K162*10+L162*20)*12*0.85</f>
        <v>422596.2</v>
      </c>
      <c r="AS162" s="3">
        <f>+(K162*10+L162*20)*12*30</f>
        <v>14915160</v>
      </c>
      <c r="AT162" s="6">
        <f t="shared" si="52"/>
        <v>-14915160</v>
      </c>
      <c r="AW162" s="62">
        <f t="shared" si="48"/>
        <v>2689617.46</v>
      </c>
      <c r="AX162" s="55">
        <v>0</v>
      </c>
      <c r="AY162" s="55">
        <v>0</v>
      </c>
      <c r="AZ162" s="55">
        <v>2689617.46</v>
      </c>
      <c r="BA162" s="55">
        <v>0</v>
      </c>
      <c r="BB162" s="55">
        <v>0</v>
      </c>
      <c r="BC162" s="55"/>
      <c r="BD162" s="55"/>
      <c r="BE162" s="55">
        <v>0</v>
      </c>
      <c r="BF162" s="55">
        <v>0</v>
      </c>
      <c r="BG162" s="55">
        <v>0</v>
      </c>
      <c r="BH162" s="55">
        <v>0</v>
      </c>
      <c r="BI162" s="55">
        <v>0</v>
      </c>
      <c r="BJ162" s="55"/>
      <c r="BK162" s="63"/>
      <c r="BL162" s="64"/>
      <c r="BM162" s="8">
        <f t="shared" si="49"/>
        <v>2689617.46</v>
      </c>
      <c r="BN162" s="55">
        <v>0</v>
      </c>
      <c r="BO162" s="55">
        <v>0</v>
      </c>
      <c r="BP162" s="71">
        <v>2689617.46</v>
      </c>
      <c r="BQ162" s="55">
        <v>0</v>
      </c>
      <c r="BR162" s="55">
        <v>0</v>
      </c>
      <c r="BS162" s="55"/>
      <c r="BT162" s="55"/>
      <c r="BU162" s="55">
        <v>0</v>
      </c>
      <c r="BV162" s="55">
        <v>0</v>
      </c>
      <c r="BW162" s="55">
        <v>0</v>
      </c>
      <c r="BX162" s="55">
        <v>0</v>
      </c>
      <c r="BY162" s="55">
        <v>0</v>
      </c>
      <c r="BZ162" s="55"/>
      <c r="CA162" s="63"/>
      <c r="CB162" s="64"/>
    </row>
    <row r="163" spans="1:80" x14ac:dyDescent="0.25">
      <c r="A163" s="52">
        <f t="shared" si="50"/>
        <v>146</v>
      </c>
      <c r="B163" s="53">
        <f t="shared" si="51"/>
        <v>146</v>
      </c>
      <c r="C163" s="53" t="s">
        <v>224</v>
      </c>
      <c r="D163" s="53" t="s">
        <v>238</v>
      </c>
      <c r="E163" s="54">
        <v>1989</v>
      </c>
      <c r="F163" s="54">
        <v>2015</v>
      </c>
      <c r="G163" s="54" t="s">
        <v>64</v>
      </c>
      <c r="H163" s="54">
        <v>9</v>
      </c>
      <c r="I163" s="54">
        <v>4</v>
      </c>
      <c r="J163" s="55">
        <v>9199.2999999999993</v>
      </c>
      <c r="K163" s="55">
        <v>8072</v>
      </c>
      <c r="L163" s="55">
        <v>65.599999999999994</v>
      </c>
      <c r="M163" s="56">
        <v>366</v>
      </c>
      <c r="N163" s="57">
        <v>25727773.27</v>
      </c>
      <c r="O163" s="55"/>
      <c r="P163" s="63"/>
      <c r="Q163" s="63"/>
      <c r="R163" s="63">
        <v>1050151.8600000001</v>
      </c>
      <c r="S163" s="63">
        <v>24677621.41</v>
      </c>
      <c r="T163" s="63">
        <v>0</v>
      </c>
      <c r="U163" s="55">
        <v>3161.5922716771502</v>
      </c>
      <c r="V163" s="55">
        <v>3161.5922716771502</v>
      </c>
      <c r="W163" s="59">
        <v>2022</v>
      </c>
      <c r="X163" s="6" t="e">
        <v>#REF!</v>
      </c>
      <c r="Z163" s="62">
        <f t="shared" si="53"/>
        <v>77772109.159999952</v>
      </c>
      <c r="AA163" s="55">
        <v>18662138.402554899</v>
      </c>
      <c r="AB163" s="55">
        <v>12807918.526641799</v>
      </c>
      <c r="AC163" s="55">
        <v>7796411.5854290398</v>
      </c>
      <c r="AD163" s="55">
        <v>7034200.4194895998</v>
      </c>
      <c r="AE163" s="55">
        <v>0</v>
      </c>
      <c r="AF163" s="55"/>
      <c r="AG163" s="55">
        <v>897798.66553440003</v>
      </c>
      <c r="AH163" s="55">
        <v>0</v>
      </c>
      <c r="AI163" s="55">
        <v>0</v>
      </c>
      <c r="AJ163" s="55">
        <v>0</v>
      </c>
      <c r="AK163" s="55">
        <v>0</v>
      </c>
      <c r="AL163" s="55">
        <v>20784690.6631115</v>
      </c>
      <c r="AM163" s="55">
        <v>7524575.8235999998</v>
      </c>
      <c r="AN163" s="63">
        <v>777721.09160000004</v>
      </c>
      <c r="AO163" s="64">
        <v>1486653.98203872</v>
      </c>
      <c r="AP163" s="61">
        <f>+N163-'Приложение №2'!E163</f>
        <v>0</v>
      </c>
      <c r="AQ163" s="1">
        <v>4641267.93</v>
      </c>
      <c r="AR163" s="3">
        <f>+(K163*13.29+L163*22.52)*12*0.85</f>
        <v>1109292.7583999999</v>
      </c>
      <c r="AS163" s="3">
        <v>24677621.41</v>
      </c>
      <c r="AT163" s="6">
        <f t="shared" si="52"/>
        <v>0</v>
      </c>
      <c r="AW163" s="62">
        <f t="shared" si="48"/>
        <v>25727773.27</v>
      </c>
      <c r="AX163" s="55"/>
      <c r="AY163" s="55">
        <v>3182426.63</v>
      </c>
      <c r="AZ163" s="55"/>
      <c r="BA163" s="55"/>
      <c r="BB163" s="55">
        <v>0</v>
      </c>
      <c r="BC163" s="55"/>
      <c r="BD163" s="55"/>
      <c r="BE163" s="55">
        <v>0</v>
      </c>
      <c r="BF163" s="55">
        <v>0</v>
      </c>
      <c r="BG163" s="55">
        <v>0</v>
      </c>
      <c r="BH163" s="55">
        <v>0</v>
      </c>
      <c r="BI163" s="55">
        <v>22545346.640000001</v>
      </c>
      <c r="BJ163" s="55"/>
      <c r="BK163" s="63"/>
      <c r="BL163" s="64"/>
      <c r="BM163" s="8">
        <f t="shared" si="49"/>
        <v>25727773.27</v>
      </c>
      <c r="BN163" s="55"/>
      <c r="BO163" s="55">
        <v>3182426.63</v>
      </c>
      <c r="BP163" s="71"/>
      <c r="BQ163" s="55"/>
      <c r="BR163" s="55">
        <v>0</v>
      </c>
      <c r="BS163" s="55"/>
      <c r="BT163" s="55"/>
      <c r="BU163" s="55">
        <v>0</v>
      </c>
      <c r="BV163" s="55">
        <v>0</v>
      </c>
      <c r="BW163" s="55">
        <v>0</v>
      </c>
      <c r="BX163" s="55">
        <v>0</v>
      </c>
      <c r="BY163" s="55">
        <v>22545346.640000001</v>
      </c>
      <c r="BZ163" s="55"/>
      <c r="CA163" s="63"/>
      <c r="CB163" s="64"/>
    </row>
    <row r="164" spans="1:80" x14ac:dyDescent="0.25">
      <c r="A164" s="52">
        <f t="shared" si="50"/>
        <v>147</v>
      </c>
      <c r="B164" s="53">
        <f t="shared" si="51"/>
        <v>147</v>
      </c>
      <c r="C164" s="53" t="s">
        <v>224</v>
      </c>
      <c r="D164" s="53" t="s">
        <v>239</v>
      </c>
      <c r="E164" s="54">
        <v>1992</v>
      </c>
      <c r="F164" s="54">
        <v>2015</v>
      </c>
      <c r="G164" s="54" t="s">
        <v>64</v>
      </c>
      <c r="H164" s="54">
        <v>9</v>
      </c>
      <c r="I164" s="54">
        <v>3</v>
      </c>
      <c r="J164" s="55">
        <v>6872</v>
      </c>
      <c r="K164" s="55">
        <v>6094.4</v>
      </c>
      <c r="L164" s="55">
        <v>0</v>
      </c>
      <c r="M164" s="56">
        <v>259</v>
      </c>
      <c r="N164" s="62">
        <v>9962928.3052925207</v>
      </c>
      <c r="O164" s="55"/>
      <c r="P164" s="63">
        <v>5994717.7699999996</v>
      </c>
      <c r="Q164" s="63"/>
      <c r="R164" s="63"/>
      <c r="S164" s="63">
        <v>3968210.5352925202</v>
      </c>
      <c r="T164" s="55"/>
      <c r="U164" s="63">
        <v>1634.76770564658</v>
      </c>
      <c r="V164" s="63">
        <v>1634.76770564658</v>
      </c>
      <c r="W164" s="59">
        <v>2022</v>
      </c>
      <c r="X164" s="6" t="e">
        <v>#REF!</v>
      </c>
      <c r="Y164" s="1" t="s">
        <v>226</v>
      </c>
      <c r="Z164" s="62">
        <f t="shared" si="53"/>
        <v>58070573.899999999</v>
      </c>
      <c r="AA164" s="55">
        <v>13934572.418976299</v>
      </c>
      <c r="AB164" s="55">
        <v>9563366.4457228798</v>
      </c>
      <c r="AC164" s="55">
        <v>5821394.0711791199</v>
      </c>
      <c r="AD164" s="55">
        <v>5252269.2207845999</v>
      </c>
      <c r="AE164" s="55">
        <v>0</v>
      </c>
      <c r="AF164" s="55"/>
      <c r="AG164" s="55">
        <v>670364.7917232</v>
      </c>
      <c r="AH164" s="55">
        <v>0</v>
      </c>
      <c r="AI164" s="55">
        <v>0</v>
      </c>
      <c r="AJ164" s="55">
        <v>0</v>
      </c>
      <c r="AK164" s="55">
        <v>0</v>
      </c>
      <c r="AL164" s="55">
        <v>15519431.430770401</v>
      </c>
      <c r="AM164" s="55">
        <v>5618420.8085000003</v>
      </c>
      <c r="AN164" s="63">
        <v>580705.73899999994</v>
      </c>
      <c r="AO164" s="64">
        <v>1110048.9733434999</v>
      </c>
      <c r="AP164" s="61">
        <f>+N164-'Приложение №2'!E164</f>
        <v>0</v>
      </c>
      <c r="AQ164" s="1">
        <f>3336709.09-263343.45</f>
        <v>3073365.6399999997</v>
      </c>
      <c r="AR164" s="3">
        <f>+(K164*13.29+L164*22.52)*12*0.85</f>
        <v>826144.67519999982</v>
      </c>
      <c r="AS164" s="3">
        <f>+(K164*13.29+L164*22.52)*12*30-1442656.44</f>
        <v>27715390.919999991</v>
      </c>
      <c r="AT164" s="6">
        <f t="shared" si="52"/>
        <v>-23747180.384707469</v>
      </c>
      <c r="AW164" s="62">
        <f t="shared" si="48"/>
        <v>9962928.3052925188</v>
      </c>
      <c r="AX164" s="55"/>
      <c r="AY164" s="55">
        <v>7323917.46</v>
      </c>
      <c r="AZ164" s="55"/>
      <c r="BA164" s="55">
        <v>2315022.9</v>
      </c>
      <c r="BB164" s="55">
        <v>0</v>
      </c>
      <c r="BC164" s="55"/>
      <c r="BD164" s="55"/>
      <c r="BE164" s="55">
        <v>0</v>
      </c>
      <c r="BF164" s="55">
        <v>0</v>
      </c>
      <c r="BG164" s="55">
        <v>0</v>
      </c>
      <c r="BH164" s="55">
        <v>0</v>
      </c>
      <c r="BI164" s="55"/>
      <c r="BJ164" s="55"/>
      <c r="BK164" s="63"/>
      <c r="BL164" s="64">
        <v>323987.94529251999</v>
      </c>
      <c r="BM164" s="8">
        <f t="shared" si="49"/>
        <v>9962928.3052925188</v>
      </c>
      <c r="BN164" s="55"/>
      <c r="BO164" s="55">
        <v>7323917.46</v>
      </c>
      <c r="BP164" s="71"/>
      <c r="BQ164" s="55">
        <v>2315022.9</v>
      </c>
      <c r="BR164" s="55">
        <v>0</v>
      </c>
      <c r="BS164" s="55"/>
      <c r="BT164" s="55"/>
      <c r="BU164" s="55">
        <v>0</v>
      </c>
      <c r="BV164" s="55">
        <v>0</v>
      </c>
      <c r="BW164" s="55">
        <v>0</v>
      </c>
      <c r="BX164" s="55">
        <v>0</v>
      </c>
      <c r="BY164" s="55"/>
      <c r="BZ164" s="55"/>
      <c r="CA164" s="63"/>
      <c r="CB164" s="64">
        <v>323987.94529251999</v>
      </c>
    </row>
    <row r="165" spans="1:80" x14ac:dyDescent="0.25">
      <c r="A165" s="52">
        <f t="shared" si="50"/>
        <v>148</v>
      </c>
      <c r="B165" s="53">
        <f t="shared" si="51"/>
        <v>148</v>
      </c>
      <c r="C165" s="53" t="s">
        <v>224</v>
      </c>
      <c r="D165" s="53" t="s">
        <v>240</v>
      </c>
      <c r="E165" s="54">
        <v>1984</v>
      </c>
      <c r="F165" s="54">
        <v>2013</v>
      </c>
      <c r="G165" s="54" t="s">
        <v>64</v>
      </c>
      <c r="H165" s="54">
        <v>9</v>
      </c>
      <c r="I165" s="54">
        <v>2</v>
      </c>
      <c r="J165" s="55">
        <v>8198.7000000000007</v>
      </c>
      <c r="K165" s="55">
        <v>7324.41</v>
      </c>
      <c r="L165" s="55">
        <v>0</v>
      </c>
      <c r="M165" s="56">
        <v>272</v>
      </c>
      <c r="N165" s="62">
        <v>53790180.380000003</v>
      </c>
      <c r="O165" s="55"/>
      <c r="P165" s="63">
        <v>10676631.48</v>
      </c>
      <c r="Q165" s="63"/>
      <c r="R165" s="63">
        <v>1088675.32</v>
      </c>
      <c r="S165" s="63">
        <v>30794766.454</v>
      </c>
      <c r="T165" s="55">
        <v>11230107.126</v>
      </c>
      <c r="U165" s="63">
        <v>7343.9608623766298</v>
      </c>
      <c r="V165" s="63">
        <v>7343.9608623766298</v>
      </c>
      <c r="W165" s="59">
        <v>2022</v>
      </c>
      <c r="X165" s="6" t="e">
        <v>#REF!</v>
      </c>
      <c r="Z165" s="62">
        <f t="shared" si="53"/>
        <v>153375371.99000001</v>
      </c>
      <c r="AA165" s="55">
        <v>16985175.195664998</v>
      </c>
      <c r="AB165" s="55">
        <v>11657010.3247345</v>
      </c>
      <c r="AC165" s="55">
        <v>7095832.9536935398</v>
      </c>
      <c r="AD165" s="55">
        <v>6402113.40647172</v>
      </c>
      <c r="AE165" s="55">
        <v>0</v>
      </c>
      <c r="AF165" s="55"/>
      <c r="AG165" s="55">
        <v>817123.27375727997</v>
      </c>
      <c r="AH165" s="55">
        <v>0</v>
      </c>
      <c r="AI165" s="55">
        <v>0</v>
      </c>
      <c r="AJ165" s="55">
        <v>0</v>
      </c>
      <c r="AK165" s="55">
        <v>71933654.736292899</v>
      </c>
      <c r="AL165" s="55">
        <v>18916996.795183599</v>
      </c>
      <c r="AM165" s="55">
        <v>15107603.6719</v>
      </c>
      <c r="AN165" s="63">
        <v>1533753.7198999999</v>
      </c>
      <c r="AO165" s="64">
        <v>2926107.9124014801</v>
      </c>
      <c r="AP165" s="61">
        <f>+N165-'Приложение №2'!E165</f>
        <v>0</v>
      </c>
      <c r="AQ165" s="1">
        <f>4296548.24-1633012.98</f>
        <v>2663535.2600000002</v>
      </c>
      <c r="AR165" s="3">
        <f>+(K165*13.29+L165*22.52)*12*0.85</f>
        <v>992882.37078</v>
      </c>
      <c r="AS165" s="3">
        <f>+(K165*13.29+L165*22.52)*12*30-4248140.75</f>
        <v>30794766.453999996</v>
      </c>
      <c r="AT165" s="6">
        <f t="shared" si="52"/>
        <v>0</v>
      </c>
      <c r="AW165" s="62">
        <f t="shared" si="48"/>
        <v>53790180.38000001</v>
      </c>
      <c r="AX165" s="55">
        <v>5141989.9000000004</v>
      </c>
      <c r="AY165" s="55"/>
      <c r="AZ165" s="55">
        <v>2714177.72</v>
      </c>
      <c r="BA165" s="55"/>
      <c r="BB165" s="55">
        <v>0</v>
      </c>
      <c r="BC165" s="55"/>
      <c r="BD165" s="55"/>
      <c r="BE165" s="55">
        <v>0</v>
      </c>
      <c r="BF165" s="55">
        <v>0</v>
      </c>
      <c r="BG165" s="55">
        <v>0</v>
      </c>
      <c r="BH165" s="55">
        <f>37030869.74+5977035.1</f>
        <v>43007904.840000004</v>
      </c>
      <c r="BI165" s="55"/>
      <c r="BJ165" s="55"/>
      <c r="BK165" s="63"/>
      <c r="BL165" s="64">
        <v>2926107.92</v>
      </c>
      <c r="BM165" s="8">
        <f t="shared" si="49"/>
        <v>53790180.38000001</v>
      </c>
      <c r="BN165" s="55">
        <v>5141989.9000000004</v>
      </c>
      <c r="BO165" s="55"/>
      <c r="BP165" s="71">
        <v>2714177.72</v>
      </c>
      <c r="BQ165" s="55"/>
      <c r="BR165" s="55">
        <v>0</v>
      </c>
      <c r="BS165" s="55"/>
      <c r="BT165" s="55"/>
      <c r="BU165" s="55">
        <v>0</v>
      </c>
      <c r="BV165" s="55">
        <v>0</v>
      </c>
      <c r="BW165" s="55">
        <v>0</v>
      </c>
      <c r="BX165" s="55">
        <f>37030869.74+5977035.1</f>
        <v>43007904.840000004</v>
      </c>
      <c r="BY165" s="55"/>
      <c r="BZ165" s="55"/>
      <c r="CA165" s="63"/>
      <c r="CB165" s="64">
        <v>2926107.92</v>
      </c>
    </row>
    <row r="166" spans="1:80" x14ac:dyDescent="0.25">
      <c r="A166" s="52">
        <f t="shared" si="50"/>
        <v>149</v>
      </c>
      <c r="B166" s="53">
        <f t="shared" si="51"/>
        <v>149</v>
      </c>
      <c r="C166" s="53" t="s">
        <v>224</v>
      </c>
      <c r="D166" s="53" t="s">
        <v>241</v>
      </c>
      <c r="E166" s="54">
        <v>1981</v>
      </c>
      <c r="F166" s="54">
        <v>2012</v>
      </c>
      <c r="G166" s="54" t="s">
        <v>64</v>
      </c>
      <c r="H166" s="54">
        <v>5</v>
      </c>
      <c r="I166" s="54">
        <v>7</v>
      </c>
      <c r="J166" s="55">
        <v>6927.5</v>
      </c>
      <c r="K166" s="55">
        <v>5314.16</v>
      </c>
      <c r="L166" s="55">
        <v>83.1</v>
      </c>
      <c r="M166" s="56">
        <v>173</v>
      </c>
      <c r="N166" s="62">
        <v>17169391.0845601</v>
      </c>
      <c r="O166" s="55"/>
      <c r="P166" s="63">
        <v>0</v>
      </c>
      <c r="Q166" s="63"/>
      <c r="R166" s="63">
        <v>1307532.44</v>
      </c>
      <c r="S166" s="63">
        <v>15861858.644560101</v>
      </c>
      <c r="T166" s="55">
        <v>0</v>
      </c>
      <c r="U166" s="63">
        <v>3181.1309969429199</v>
      </c>
      <c r="V166" s="63">
        <v>3181.1309969429199</v>
      </c>
      <c r="W166" s="59">
        <v>2022</v>
      </c>
      <c r="X166" s="6" t="e">
        <v>#REF!</v>
      </c>
      <c r="Z166" s="62">
        <f t="shared" si="53"/>
        <v>106077568.57000004</v>
      </c>
      <c r="AA166" s="55">
        <v>18055119.957136098</v>
      </c>
      <c r="AB166" s="55">
        <v>0</v>
      </c>
      <c r="AC166" s="55">
        <v>0</v>
      </c>
      <c r="AD166" s="55">
        <v>4330714.8848485202</v>
      </c>
      <c r="AE166" s="55">
        <v>0</v>
      </c>
      <c r="AF166" s="55"/>
      <c r="AG166" s="55">
        <v>0</v>
      </c>
      <c r="AH166" s="55">
        <v>0</v>
      </c>
      <c r="AI166" s="55">
        <v>33967503.6578262</v>
      </c>
      <c r="AJ166" s="55">
        <v>0</v>
      </c>
      <c r="AK166" s="55">
        <v>17636148.1005776</v>
      </c>
      <c r="AL166" s="55">
        <v>19022357.136998899</v>
      </c>
      <c r="AM166" s="55">
        <v>9970968.5052000005</v>
      </c>
      <c r="AN166" s="63">
        <v>1060775.6857</v>
      </c>
      <c r="AO166" s="64">
        <v>2033980.6417127401</v>
      </c>
      <c r="AP166" s="61">
        <f>+N166-'Приложение №2'!E166</f>
        <v>-3.7252902984619141E-8</v>
      </c>
      <c r="AQ166" s="1">
        <v>2353388.21</v>
      </c>
      <c r="AR166" s="3">
        <f>+(K166*10+L166*20)*12*0.85</f>
        <v>558996.72</v>
      </c>
      <c r="AS166" s="3">
        <f>+(K166*10+L166*20)*12*30</f>
        <v>19729296</v>
      </c>
      <c r="AT166" s="6">
        <f t="shared" si="52"/>
        <v>-3867437.3554398995</v>
      </c>
      <c r="AW166" s="62">
        <f t="shared" si="48"/>
        <v>17169391.084560137</v>
      </c>
      <c r="AX166" s="55">
        <v>3172690.78</v>
      </c>
      <c r="AY166" s="55">
        <v>0</v>
      </c>
      <c r="AZ166" s="55">
        <v>0</v>
      </c>
      <c r="BA166" s="55"/>
      <c r="BB166" s="55">
        <v>0</v>
      </c>
      <c r="BC166" s="55"/>
      <c r="BD166" s="55"/>
      <c r="BE166" s="55">
        <v>0</v>
      </c>
      <c r="BF166" s="55">
        <v>5090700.49</v>
      </c>
      <c r="BG166" s="55">
        <v>0</v>
      </c>
      <c r="BH166" s="55">
        <v>7382703.5599999996</v>
      </c>
      <c r="BI166" s="55"/>
      <c r="BJ166" s="55"/>
      <c r="BK166" s="63"/>
      <c r="BL166" s="64">
        <v>1523296.25456014</v>
      </c>
      <c r="BM166" s="8">
        <f t="shared" si="49"/>
        <v>17169391.084560137</v>
      </c>
      <c r="BN166" s="55">
        <v>3172690.78</v>
      </c>
      <c r="BO166" s="55">
        <v>0</v>
      </c>
      <c r="BP166" s="71">
        <v>0</v>
      </c>
      <c r="BQ166" s="55"/>
      <c r="BR166" s="55">
        <v>0</v>
      </c>
      <c r="BS166" s="55"/>
      <c r="BT166" s="55"/>
      <c r="BU166" s="55">
        <v>0</v>
      </c>
      <c r="BV166" s="55">
        <v>5090700.49</v>
      </c>
      <c r="BW166" s="55">
        <v>0</v>
      </c>
      <c r="BX166" s="55">
        <v>7382703.5599999996</v>
      </c>
      <c r="BY166" s="55"/>
      <c r="BZ166" s="55"/>
      <c r="CA166" s="63"/>
      <c r="CB166" s="64">
        <v>1523296.25456014</v>
      </c>
    </row>
    <row r="167" spans="1:80" x14ac:dyDescent="0.25">
      <c r="A167" s="52">
        <f t="shared" si="50"/>
        <v>150</v>
      </c>
      <c r="B167" s="53">
        <f t="shared" si="51"/>
        <v>150</v>
      </c>
      <c r="C167" s="53" t="s">
        <v>224</v>
      </c>
      <c r="D167" s="53" t="s">
        <v>242</v>
      </c>
      <c r="E167" s="54">
        <v>1993</v>
      </c>
      <c r="F167" s="54">
        <v>2014</v>
      </c>
      <c r="G167" s="54" t="s">
        <v>64</v>
      </c>
      <c r="H167" s="54">
        <v>9</v>
      </c>
      <c r="I167" s="54">
        <v>1</v>
      </c>
      <c r="J167" s="55">
        <v>2553.4</v>
      </c>
      <c r="K167" s="55">
        <v>2128.8000000000002</v>
      </c>
      <c r="L167" s="55">
        <v>0</v>
      </c>
      <c r="M167" s="56">
        <v>78</v>
      </c>
      <c r="N167" s="62">
        <v>1156060.93417932</v>
      </c>
      <c r="O167" s="55"/>
      <c r="P167" s="63"/>
      <c r="Q167" s="63"/>
      <c r="R167" s="63">
        <v>597799.18099999998</v>
      </c>
      <c r="S167" s="63">
        <v>558261.75317932002</v>
      </c>
      <c r="T167" s="55">
        <v>0</v>
      </c>
      <c r="U167" s="63">
        <v>543.05756021200705</v>
      </c>
      <c r="V167" s="63">
        <v>543.05756021200705</v>
      </c>
      <c r="W167" s="59">
        <v>2022</v>
      </c>
      <c r="X167" s="6" t="e">
        <v>#REF!</v>
      </c>
      <c r="Z167" s="62">
        <f t="shared" si="53"/>
        <v>44395710.679999955</v>
      </c>
      <c r="AA167" s="55">
        <v>4916492.8733411403</v>
      </c>
      <c r="AB167" s="55">
        <v>3374213.5460846401</v>
      </c>
      <c r="AC167" s="55">
        <v>2053944.7940944801</v>
      </c>
      <c r="AD167" s="55">
        <v>1853142.2046320401</v>
      </c>
      <c r="AE167" s="55">
        <v>0</v>
      </c>
      <c r="AF167" s="55"/>
      <c r="AG167" s="55">
        <v>236522.7739728</v>
      </c>
      <c r="AH167" s="55">
        <v>0</v>
      </c>
      <c r="AI167" s="55">
        <v>0</v>
      </c>
      <c r="AJ167" s="55">
        <v>0</v>
      </c>
      <c r="AK167" s="55">
        <v>20821763.508175101</v>
      </c>
      <c r="AL167" s="55">
        <v>5475673.8714455403</v>
      </c>
      <c r="AM167" s="55">
        <v>4373014.9959000004</v>
      </c>
      <c r="AN167" s="63">
        <v>443957.10680000001</v>
      </c>
      <c r="AO167" s="64">
        <v>846985.00555422006</v>
      </c>
      <c r="AP167" s="61">
        <f>+N167-'Приложение №2'!E167</f>
        <v>0</v>
      </c>
      <c r="AQ167" s="1">
        <f>1103126.79-79353.74-714183.7328</f>
        <v>309589.31720000005</v>
      </c>
      <c r="AR167" s="3">
        <f>+(K167*13.29+L167*22.52)*12*0.85</f>
        <v>288575.87039999996</v>
      </c>
      <c r="AS167" s="3">
        <f>+(K167*13.29+L167*22.52)*12*30-300950.5-2600695.91</f>
        <v>7283384.3099999987</v>
      </c>
      <c r="AT167" s="6">
        <f t="shared" si="52"/>
        <v>-6725122.5568206785</v>
      </c>
      <c r="AW167" s="62">
        <f t="shared" si="48"/>
        <v>1156060.93417932</v>
      </c>
      <c r="AX167" s="55"/>
      <c r="AY167" s="55"/>
      <c r="AZ167" s="55"/>
      <c r="BA167" s="55"/>
      <c r="BB167" s="55"/>
      <c r="BC167" s="55"/>
      <c r="BD167" s="55"/>
      <c r="BE167" s="55">
        <v>0</v>
      </c>
      <c r="BF167" s="55">
        <v>0</v>
      </c>
      <c r="BG167" s="55">
        <v>0</v>
      </c>
      <c r="BH167" s="55"/>
      <c r="BI167" s="55">
        <v>580989.24</v>
      </c>
      <c r="BJ167" s="55"/>
      <c r="BK167" s="63"/>
      <c r="BL167" s="64">
        <v>575071.69417932001</v>
      </c>
      <c r="BM167" s="8">
        <f t="shared" si="49"/>
        <v>1156060.93417932</v>
      </c>
      <c r="BN167" s="55"/>
      <c r="BO167" s="55"/>
      <c r="BP167" s="71"/>
      <c r="BQ167" s="55"/>
      <c r="BR167" s="55"/>
      <c r="BS167" s="55"/>
      <c r="BT167" s="55"/>
      <c r="BU167" s="55">
        <v>0</v>
      </c>
      <c r="BV167" s="55">
        <v>0</v>
      </c>
      <c r="BW167" s="55">
        <v>0</v>
      </c>
      <c r="BX167" s="55"/>
      <c r="BY167" s="55">
        <v>580989.24</v>
      </c>
      <c r="BZ167" s="55"/>
      <c r="CA167" s="63"/>
      <c r="CB167" s="64">
        <v>575071.69417932001</v>
      </c>
    </row>
    <row r="168" spans="1:80" x14ac:dyDescent="0.25">
      <c r="A168" s="52">
        <f t="shared" si="50"/>
        <v>151</v>
      </c>
      <c r="B168" s="53">
        <f t="shared" si="51"/>
        <v>151</v>
      </c>
      <c r="C168" s="53" t="s">
        <v>224</v>
      </c>
      <c r="D168" s="53" t="s">
        <v>243</v>
      </c>
      <c r="E168" s="54">
        <v>1972</v>
      </c>
      <c r="F168" s="54">
        <v>2013</v>
      </c>
      <c r="G168" s="54" t="s">
        <v>64</v>
      </c>
      <c r="H168" s="54">
        <v>4</v>
      </c>
      <c r="I168" s="54">
        <v>6</v>
      </c>
      <c r="J168" s="55">
        <v>4437.8999999999996</v>
      </c>
      <c r="K168" s="55">
        <v>4088.2</v>
      </c>
      <c r="L168" s="55">
        <v>0</v>
      </c>
      <c r="M168" s="56">
        <v>207</v>
      </c>
      <c r="N168" s="62">
        <v>8066054.8088218002</v>
      </c>
      <c r="O168" s="55"/>
      <c r="P168" s="63">
        <v>2746655.59</v>
      </c>
      <c r="Q168" s="63"/>
      <c r="R168" s="63">
        <v>501539.16</v>
      </c>
      <c r="S168" s="63">
        <v>4817860.0588218002</v>
      </c>
      <c r="T168" s="55">
        <v>0</v>
      </c>
      <c r="U168" s="63">
        <v>1973.0088569105701</v>
      </c>
      <c r="V168" s="63">
        <v>1973.0088569105701</v>
      </c>
      <c r="W168" s="59">
        <v>2022</v>
      </c>
      <c r="X168" s="6" t="e">
        <v>#REF!</v>
      </c>
      <c r="Z168" s="62">
        <f t="shared" si="53"/>
        <v>26371012.292399999</v>
      </c>
      <c r="AA168" s="55">
        <v>12305507</v>
      </c>
      <c r="AB168" s="55">
        <v>4288000.4889749996</v>
      </c>
      <c r="AC168" s="55">
        <v>4479954.2738714404</v>
      </c>
      <c r="AD168" s="55">
        <v>3127291</v>
      </c>
      <c r="AE168" s="55">
        <v>0</v>
      </c>
      <c r="AF168" s="55"/>
      <c r="AG168" s="55">
        <v>386031.94970676</v>
      </c>
      <c r="AH168" s="55">
        <v>0</v>
      </c>
      <c r="AI168" s="55">
        <v>0</v>
      </c>
      <c r="AJ168" s="55">
        <v>0</v>
      </c>
      <c r="AK168" s="55">
        <v>0</v>
      </c>
      <c r="AL168" s="55">
        <v>0</v>
      </c>
      <c r="AM168" s="55">
        <v>1122564.2276999999</v>
      </c>
      <c r="AN168" s="63">
        <v>134247.94029999999</v>
      </c>
      <c r="AO168" s="64">
        <v>527415.41184680001</v>
      </c>
      <c r="AP168" s="61">
        <f>+N168-'Приложение №2'!E168</f>
        <v>0</v>
      </c>
      <c r="AQ168" s="1">
        <v>1932968.35</v>
      </c>
      <c r="AR168" s="3">
        <f t="shared" ref="AR168:AR203" si="54">+(K168*10+L168*20)*12*0.85</f>
        <v>416996.39999999997</v>
      </c>
      <c r="AS168" s="3">
        <f t="shared" ref="AS168:AS176" si="55">+(K168*10+L168*20)*12*30</f>
        <v>14717520</v>
      </c>
      <c r="AT168" s="6">
        <f t="shared" si="52"/>
        <v>-9899659.9411781989</v>
      </c>
      <c r="AW168" s="62">
        <f t="shared" si="48"/>
        <v>8066054.8088218002</v>
      </c>
      <c r="AX168" s="55"/>
      <c r="AY168" s="55"/>
      <c r="AZ168" s="55">
        <v>3648621.62</v>
      </c>
      <c r="BA168" s="55">
        <v>3268542.62</v>
      </c>
      <c r="BB168" s="55">
        <v>0</v>
      </c>
      <c r="BC168" s="55"/>
      <c r="BD168" s="55"/>
      <c r="BE168" s="55">
        <v>0</v>
      </c>
      <c r="BF168" s="55">
        <v>0</v>
      </c>
      <c r="BG168" s="55">
        <v>0</v>
      </c>
      <c r="BH168" s="55">
        <v>0</v>
      </c>
      <c r="BI168" s="55">
        <v>0</v>
      </c>
      <c r="BJ168" s="55">
        <v>630230.47770000005</v>
      </c>
      <c r="BK168" s="63">
        <v>85014.565300000002</v>
      </c>
      <c r="BL168" s="64">
        <v>433645.52582179999</v>
      </c>
      <c r="BM168" s="8">
        <f t="shared" si="49"/>
        <v>8066054.8088218002</v>
      </c>
      <c r="BN168" s="55"/>
      <c r="BO168" s="55"/>
      <c r="BP168" s="71">
        <v>3648621.62</v>
      </c>
      <c r="BQ168" s="55">
        <v>3268542.62</v>
      </c>
      <c r="BR168" s="55">
        <v>0</v>
      </c>
      <c r="BS168" s="55"/>
      <c r="BT168" s="55"/>
      <c r="BU168" s="55">
        <v>0</v>
      </c>
      <c r="BV168" s="55">
        <v>0</v>
      </c>
      <c r="BW168" s="55">
        <v>0</v>
      </c>
      <c r="BX168" s="55">
        <v>0</v>
      </c>
      <c r="BY168" s="55">
        <v>0</v>
      </c>
      <c r="BZ168" s="55">
        <v>630230.47770000005</v>
      </c>
      <c r="CA168" s="63">
        <v>85014.565300000002</v>
      </c>
      <c r="CB168" s="64">
        <v>433645.52582179999</v>
      </c>
    </row>
    <row r="169" spans="1:80" x14ac:dyDescent="0.25">
      <c r="A169" s="52">
        <f t="shared" si="50"/>
        <v>152</v>
      </c>
      <c r="B169" s="53">
        <f t="shared" si="51"/>
        <v>152</v>
      </c>
      <c r="C169" s="53" t="s">
        <v>244</v>
      </c>
      <c r="D169" s="53" t="s">
        <v>245</v>
      </c>
      <c r="E169" s="54">
        <v>1985</v>
      </c>
      <c r="F169" s="54">
        <v>1985</v>
      </c>
      <c r="G169" s="54" t="s">
        <v>64</v>
      </c>
      <c r="H169" s="54">
        <v>5</v>
      </c>
      <c r="I169" s="54">
        <v>4</v>
      </c>
      <c r="J169" s="55">
        <v>4957.5</v>
      </c>
      <c r="K169" s="55">
        <v>4305.3999999999996</v>
      </c>
      <c r="L169" s="55">
        <v>651.20000000000005</v>
      </c>
      <c r="M169" s="56">
        <v>166</v>
      </c>
      <c r="N169" s="62">
        <v>10316811.3629201</v>
      </c>
      <c r="O169" s="55"/>
      <c r="P169" s="63"/>
      <c r="Q169" s="63"/>
      <c r="R169" s="63">
        <v>2359386</v>
      </c>
      <c r="S169" s="63">
        <v>7957425.3629201204</v>
      </c>
      <c r="T169" s="55">
        <v>0</v>
      </c>
      <c r="U169" s="63">
        <v>2081.4290769721401</v>
      </c>
      <c r="V169" s="63">
        <v>2081.4290769721401</v>
      </c>
      <c r="W169" s="59">
        <v>2022</v>
      </c>
      <c r="X169" s="6" t="e">
        <v>#REF!</v>
      </c>
      <c r="Z169" s="62">
        <f t="shared" si="53"/>
        <v>19423335.669999976</v>
      </c>
      <c r="AA169" s="55">
        <v>12305784.6204766</v>
      </c>
      <c r="AB169" s="55">
        <v>4512564.0806433596</v>
      </c>
      <c r="AC169" s="55">
        <v>0</v>
      </c>
      <c r="AD169" s="55">
        <v>0</v>
      </c>
      <c r="AE169" s="55">
        <v>0</v>
      </c>
      <c r="AF169" s="55"/>
      <c r="AG169" s="55">
        <v>406248.53806488001</v>
      </c>
      <c r="AH169" s="55">
        <v>0</v>
      </c>
      <c r="AI169" s="55">
        <v>0</v>
      </c>
      <c r="AJ169" s="55">
        <v>0</v>
      </c>
      <c r="AK169" s="55">
        <v>0</v>
      </c>
      <c r="AL169" s="55">
        <v>0</v>
      </c>
      <c r="AM169" s="55">
        <v>1627838.0182</v>
      </c>
      <c r="AN169" s="63">
        <v>194233.3567</v>
      </c>
      <c r="AO169" s="64">
        <v>376667.05591514002</v>
      </c>
      <c r="AP169" s="61">
        <f>+N169-'Приложение №2'!E169</f>
        <v>-1.862645149230957E-8</v>
      </c>
      <c r="AQ169" s="1">
        <v>2028653.94</v>
      </c>
      <c r="AR169" s="3">
        <f t="shared" si="54"/>
        <v>571995.6</v>
      </c>
      <c r="AS169" s="3">
        <f t="shared" si="55"/>
        <v>20188080</v>
      </c>
      <c r="AT169" s="6">
        <f t="shared" si="52"/>
        <v>-12230654.63707988</v>
      </c>
      <c r="AW169" s="62">
        <f t="shared" si="48"/>
        <v>10316811.362920118</v>
      </c>
      <c r="AX169" s="55"/>
      <c r="AY169" s="55"/>
      <c r="AZ169" s="55">
        <v>0</v>
      </c>
      <c r="BA169" s="55">
        <v>0</v>
      </c>
      <c r="BB169" s="55">
        <v>0</v>
      </c>
      <c r="BC169" s="55"/>
      <c r="BD169" s="55"/>
      <c r="BE169" s="55">
        <v>0</v>
      </c>
      <c r="BF169" s="55">
        <v>9398785.4499999993</v>
      </c>
      <c r="BG169" s="55">
        <v>0</v>
      </c>
      <c r="BH169" s="55">
        <v>0</v>
      </c>
      <c r="BI169" s="55">
        <v>0</v>
      </c>
      <c r="BJ169" s="55"/>
      <c r="BK169" s="63"/>
      <c r="BL169" s="64">
        <v>918025.91292012006</v>
      </c>
      <c r="BM169" s="8">
        <f t="shared" si="49"/>
        <v>10316811.362920118</v>
      </c>
      <c r="BN169" s="55"/>
      <c r="BO169" s="55"/>
      <c r="BP169" s="71">
        <v>0</v>
      </c>
      <c r="BQ169" s="55">
        <v>0</v>
      </c>
      <c r="BR169" s="55">
        <v>0</v>
      </c>
      <c r="BS169" s="55"/>
      <c r="BT169" s="55"/>
      <c r="BU169" s="55">
        <v>0</v>
      </c>
      <c r="BV169" s="55">
        <v>9398785.4499999993</v>
      </c>
      <c r="BW169" s="55">
        <v>0</v>
      </c>
      <c r="BX169" s="55">
        <v>0</v>
      </c>
      <c r="BY169" s="55">
        <v>0</v>
      </c>
      <c r="BZ169" s="55"/>
      <c r="CA169" s="63"/>
      <c r="CB169" s="64">
        <v>918025.91292012006</v>
      </c>
    </row>
    <row r="170" spans="1:80" x14ac:dyDescent="0.25">
      <c r="A170" s="52">
        <f t="shared" si="50"/>
        <v>153</v>
      </c>
      <c r="B170" s="53">
        <f t="shared" si="51"/>
        <v>153</v>
      </c>
      <c r="C170" s="53" t="s">
        <v>244</v>
      </c>
      <c r="D170" s="53" t="s">
        <v>246</v>
      </c>
      <c r="E170" s="54">
        <v>1988</v>
      </c>
      <c r="F170" s="54">
        <v>1988</v>
      </c>
      <c r="G170" s="54" t="s">
        <v>64</v>
      </c>
      <c r="H170" s="54">
        <v>5</v>
      </c>
      <c r="I170" s="54">
        <v>4</v>
      </c>
      <c r="J170" s="55">
        <v>5038.3999999999996</v>
      </c>
      <c r="K170" s="55">
        <v>3442.8</v>
      </c>
      <c r="L170" s="55">
        <v>1586</v>
      </c>
      <c r="M170" s="56">
        <v>156</v>
      </c>
      <c r="N170" s="62">
        <v>10050452.1841392</v>
      </c>
      <c r="O170" s="55"/>
      <c r="P170" s="63"/>
      <c r="Q170" s="63"/>
      <c r="R170" s="63">
        <v>2876903.01</v>
      </c>
      <c r="S170" s="63">
        <v>7173549.1741391998</v>
      </c>
      <c r="T170" s="55">
        <v>0</v>
      </c>
      <c r="U170" s="63">
        <v>1998.57862395387</v>
      </c>
      <c r="V170" s="63">
        <v>1998.57862395387</v>
      </c>
      <c r="W170" s="59">
        <v>2022</v>
      </c>
      <c r="X170" s="6" t="e">
        <v>#REF!</v>
      </c>
      <c r="Z170" s="62">
        <f t="shared" si="53"/>
        <v>50851543.909999989</v>
      </c>
      <c r="AA170" s="55">
        <v>12240570.2260023</v>
      </c>
      <c r="AB170" s="55">
        <v>4488649.7915120404</v>
      </c>
      <c r="AC170" s="55">
        <v>4689585.7163009401</v>
      </c>
      <c r="AD170" s="55">
        <v>0</v>
      </c>
      <c r="AE170" s="55">
        <v>0</v>
      </c>
      <c r="AF170" s="55"/>
      <c r="AG170" s="55">
        <v>404095.62569795997</v>
      </c>
      <c r="AH170" s="55">
        <v>0</v>
      </c>
      <c r="AI170" s="55">
        <v>23028460.340860799</v>
      </c>
      <c r="AJ170" s="55">
        <v>0</v>
      </c>
      <c r="AK170" s="55">
        <v>0</v>
      </c>
      <c r="AL170" s="55">
        <v>0</v>
      </c>
      <c r="AM170" s="55">
        <v>4510858.3295</v>
      </c>
      <c r="AN170" s="63">
        <v>508515.43910000002</v>
      </c>
      <c r="AO170" s="64">
        <v>980808.44102596003</v>
      </c>
      <c r="AP170" s="61">
        <f>+N170-'Приложение №2'!E170</f>
        <v>0</v>
      </c>
      <c r="AQ170" s="1">
        <v>2748459.05</v>
      </c>
      <c r="AR170" s="3">
        <f t="shared" si="54"/>
        <v>674709.6</v>
      </c>
      <c r="AS170" s="3">
        <f t="shared" si="55"/>
        <v>23813280</v>
      </c>
      <c r="AT170" s="6">
        <f t="shared" si="52"/>
        <v>-16639730.8258608</v>
      </c>
      <c r="AW170" s="62">
        <f t="shared" si="48"/>
        <v>10050452.1841392</v>
      </c>
      <c r="AX170" s="55"/>
      <c r="AY170" s="55"/>
      <c r="AZ170" s="55"/>
      <c r="BA170" s="55">
        <v>0</v>
      </c>
      <c r="BB170" s="55">
        <v>0</v>
      </c>
      <c r="BC170" s="55"/>
      <c r="BD170" s="55"/>
      <c r="BE170" s="55">
        <v>0</v>
      </c>
      <c r="BF170" s="55">
        <v>9546866.3969999999</v>
      </c>
      <c r="BG170" s="55">
        <v>0</v>
      </c>
      <c r="BH170" s="55">
        <v>0</v>
      </c>
      <c r="BI170" s="55">
        <v>0</v>
      </c>
      <c r="BJ170" s="55"/>
      <c r="BK170" s="63"/>
      <c r="BL170" s="64">
        <v>503585.78713920002</v>
      </c>
      <c r="BM170" s="8">
        <f t="shared" si="49"/>
        <v>10050452.1841392</v>
      </c>
      <c r="BN170" s="55"/>
      <c r="BO170" s="55"/>
      <c r="BP170" s="71"/>
      <c r="BQ170" s="55">
        <v>0</v>
      </c>
      <c r="BR170" s="55">
        <v>0</v>
      </c>
      <c r="BS170" s="55"/>
      <c r="BT170" s="55"/>
      <c r="BU170" s="55">
        <v>0</v>
      </c>
      <c r="BV170" s="55">
        <v>9546866.3969999999</v>
      </c>
      <c r="BW170" s="55">
        <v>0</v>
      </c>
      <c r="BX170" s="55">
        <v>0</v>
      </c>
      <c r="BY170" s="55">
        <v>0</v>
      </c>
      <c r="BZ170" s="55"/>
      <c r="CA170" s="63"/>
      <c r="CB170" s="64">
        <v>503585.78713920002</v>
      </c>
    </row>
    <row r="171" spans="1:80" x14ac:dyDescent="0.25">
      <c r="A171" s="52">
        <f t="shared" si="50"/>
        <v>154</v>
      </c>
      <c r="B171" s="53">
        <f t="shared" si="51"/>
        <v>154</v>
      </c>
      <c r="C171" s="53" t="s">
        <v>244</v>
      </c>
      <c r="D171" s="53" t="s">
        <v>247</v>
      </c>
      <c r="E171" s="54">
        <v>1986</v>
      </c>
      <c r="F171" s="54">
        <v>1986</v>
      </c>
      <c r="G171" s="54" t="s">
        <v>64</v>
      </c>
      <c r="H171" s="54">
        <v>5</v>
      </c>
      <c r="I171" s="54">
        <v>4</v>
      </c>
      <c r="J171" s="55">
        <v>4691.8999999999996</v>
      </c>
      <c r="K171" s="55">
        <v>4321.1000000000004</v>
      </c>
      <c r="L171" s="55">
        <v>298</v>
      </c>
      <c r="M171" s="56">
        <v>195</v>
      </c>
      <c r="N171" s="57">
        <v>17029022.685930502</v>
      </c>
      <c r="O171" s="55"/>
      <c r="P171" s="63">
        <v>5030178.26</v>
      </c>
      <c r="Q171" s="63"/>
      <c r="R171" s="63">
        <v>1064681.94</v>
      </c>
      <c r="S171" s="63">
        <v>10934162.485930501</v>
      </c>
      <c r="T171" s="63"/>
      <c r="U171" s="55">
        <v>3686.6538256219901</v>
      </c>
      <c r="V171" s="55">
        <v>3686.6538256219901</v>
      </c>
      <c r="W171" s="59">
        <v>2022</v>
      </c>
      <c r="X171" s="6" t="e">
        <v>#REF!</v>
      </c>
      <c r="Z171" s="62">
        <f t="shared" si="53"/>
        <v>19513628.469999976</v>
      </c>
      <c r="AA171" s="55">
        <v>12362990.2296646</v>
      </c>
      <c r="AB171" s="55">
        <v>4533541.53030576</v>
      </c>
      <c r="AC171" s="55">
        <v>0</v>
      </c>
      <c r="AD171" s="55">
        <v>0</v>
      </c>
      <c r="AE171" s="55">
        <v>0</v>
      </c>
      <c r="AF171" s="55"/>
      <c r="AG171" s="55">
        <v>408137.05600247998</v>
      </c>
      <c r="AH171" s="55">
        <v>0</v>
      </c>
      <c r="AI171" s="55">
        <v>0</v>
      </c>
      <c r="AJ171" s="55">
        <v>0</v>
      </c>
      <c r="AK171" s="55">
        <v>0</v>
      </c>
      <c r="AL171" s="55">
        <v>0</v>
      </c>
      <c r="AM171" s="55">
        <v>1635405.3101999999</v>
      </c>
      <c r="AN171" s="63">
        <v>195136.28469999999</v>
      </c>
      <c r="AO171" s="64">
        <v>378418.05912713998</v>
      </c>
      <c r="AP171" s="61">
        <f>+N171-'Приложение №2'!E171</f>
        <v>0</v>
      </c>
      <c r="AQ171" s="1">
        <v>1886055.9</v>
      </c>
      <c r="AR171" s="3">
        <f t="shared" si="54"/>
        <v>501544.2</v>
      </c>
      <c r="AS171" s="3">
        <f t="shared" si="55"/>
        <v>17701560</v>
      </c>
      <c r="AT171" s="6">
        <f t="shared" si="52"/>
        <v>-6767397.5140694994</v>
      </c>
      <c r="AU171" s="6" t="e">
        <v>#REF!</v>
      </c>
      <c r="AV171" s="6" t="e">
        <v>#REF!</v>
      </c>
      <c r="AW171" s="62">
        <f t="shared" si="48"/>
        <v>17029022.68593052</v>
      </c>
      <c r="AX171" s="55"/>
      <c r="AY171" s="55"/>
      <c r="AZ171" s="55">
        <v>0</v>
      </c>
      <c r="BA171" s="55">
        <v>0</v>
      </c>
      <c r="BB171" s="55">
        <v>0</v>
      </c>
      <c r="BC171" s="55"/>
      <c r="BD171" s="55"/>
      <c r="BE171" s="55">
        <v>0</v>
      </c>
      <c r="BF171" s="55">
        <v>16106664.949999999</v>
      </c>
      <c r="BG171" s="55">
        <v>0</v>
      </c>
      <c r="BH171" s="55">
        <v>0</v>
      </c>
      <c r="BI171" s="55">
        <v>0</v>
      </c>
      <c r="BJ171" s="55"/>
      <c r="BK171" s="63"/>
      <c r="BL171" s="64">
        <v>922357.73593051999</v>
      </c>
      <c r="BM171" s="8">
        <f t="shared" si="49"/>
        <v>17029022.68593052</v>
      </c>
      <c r="BN171" s="55"/>
      <c r="BO171" s="55"/>
      <c r="BP171" s="71">
        <v>0</v>
      </c>
      <c r="BQ171" s="55">
        <v>0</v>
      </c>
      <c r="BR171" s="55">
        <v>0</v>
      </c>
      <c r="BS171" s="55"/>
      <c r="BT171" s="55"/>
      <c r="BU171" s="55">
        <v>0</v>
      </c>
      <c r="BV171" s="55">
        <v>16106664.949999999</v>
      </c>
      <c r="BW171" s="55">
        <v>0</v>
      </c>
      <c r="BX171" s="55">
        <v>0</v>
      </c>
      <c r="BY171" s="55">
        <v>0</v>
      </c>
      <c r="BZ171" s="55"/>
      <c r="CA171" s="63"/>
      <c r="CB171" s="64">
        <v>922357.73593051999</v>
      </c>
    </row>
    <row r="172" spans="1:80" x14ac:dyDescent="0.25">
      <c r="A172" s="52">
        <f t="shared" si="50"/>
        <v>155</v>
      </c>
      <c r="B172" s="53">
        <f t="shared" si="51"/>
        <v>155</v>
      </c>
      <c r="C172" s="53" t="s">
        <v>248</v>
      </c>
      <c r="D172" s="53" t="s">
        <v>249</v>
      </c>
      <c r="E172" s="54">
        <v>1994</v>
      </c>
      <c r="F172" s="54">
        <v>1994</v>
      </c>
      <c r="G172" s="54" t="s">
        <v>64</v>
      </c>
      <c r="H172" s="54">
        <v>2</v>
      </c>
      <c r="I172" s="54">
        <v>2</v>
      </c>
      <c r="J172" s="55">
        <v>1089.5</v>
      </c>
      <c r="K172" s="55">
        <v>978.3</v>
      </c>
      <c r="L172" s="55">
        <v>0</v>
      </c>
      <c r="M172" s="56">
        <v>43</v>
      </c>
      <c r="N172" s="62">
        <v>650224.417044</v>
      </c>
      <c r="O172" s="55"/>
      <c r="P172" s="63">
        <v>327001.24</v>
      </c>
      <c r="Q172" s="63"/>
      <c r="R172" s="63">
        <v>252886.06</v>
      </c>
      <c r="S172" s="63">
        <v>35183.907044000101</v>
      </c>
      <c r="T172" s="55">
        <v>35153.21</v>
      </c>
      <c r="U172" s="63">
        <v>664.64726264336105</v>
      </c>
      <c r="V172" s="63">
        <v>664.64726264336105</v>
      </c>
      <c r="W172" s="59">
        <v>2022</v>
      </c>
      <c r="X172" s="6" t="e">
        <v>#REF!</v>
      </c>
      <c r="Z172" s="62">
        <f t="shared" si="53"/>
        <v>593748.16</v>
      </c>
      <c r="AA172" s="55">
        <v>0</v>
      </c>
      <c r="AB172" s="55">
        <v>0</v>
      </c>
      <c r="AC172" s="55">
        <v>0</v>
      </c>
      <c r="AD172" s="55">
        <v>0</v>
      </c>
      <c r="AE172" s="55">
        <v>543023.63295600004</v>
      </c>
      <c r="AF172" s="55"/>
      <c r="AG172" s="55">
        <v>0</v>
      </c>
      <c r="AH172" s="55">
        <v>0</v>
      </c>
      <c r="AI172" s="55">
        <v>0</v>
      </c>
      <c r="AJ172" s="55">
        <v>0</v>
      </c>
      <c r="AK172" s="55">
        <v>0</v>
      </c>
      <c r="AL172" s="55">
        <v>0</v>
      </c>
      <c r="AM172" s="55">
        <v>34646.21</v>
      </c>
      <c r="AN172" s="55">
        <v>4203.49</v>
      </c>
      <c r="AO172" s="64">
        <v>11874.827044</v>
      </c>
      <c r="AP172" s="61">
        <f>+N172-'Приложение №2'!E172</f>
        <v>0</v>
      </c>
      <c r="AQ172" s="1">
        <v>431386</v>
      </c>
      <c r="AR172" s="3">
        <f t="shared" si="54"/>
        <v>99786.599999999991</v>
      </c>
      <c r="AS172" s="3">
        <f t="shared" si="55"/>
        <v>3521880</v>
      </c>
      <c r="AT172" s="6">
        <f t="shared" si="52"/>
        <v>-3486696.092956</v>
      </c>
      <c r="AW172" s="62">
        <f t="shared" si="48"/>
        <v>650224.41704400012</v>
      </c>
      <c r="AX172" s="55">
        <v>0</v>
      </c>
      <c r="AY172" s="55">
        <v>0</v>
      </c>
      <c r="AZ172" s="55">
        <v>0</v>
      </c>
      <c r="BA172" s="55">
        <v>0</v>
      </c>
      <c r="BB172" s="55">
        <v>579887.30000000005</v>
      </c>
      <c r="BC172" s="55"/>
      <c r="BD172" s="55"/>
      <c r="BE172" s="55">
        <v>0</v>
      </c>
      <c r="BF172" s="55">
        <v>0</v>
      </c>
      <c r="BG172" s="55">
        <v>0</v>
      </c>
      <c r="BH172" s="55">
        <v>0</v>
      </c>
      <c r="BI172" s="55">
        <v>0</v>
      </c>
      <c r="BJ172" s="55">
        <v>58462.29</v>
      </c>
      <c r="BK172" s="55"/>
      <c r="BL172" s="64">
        <v>11874.827044</v>
      </c>
      <c r="BM172" s="8">
        <f t="shared" si="49"/>
        <v>650224.41704400012</v>
      </c>
      <c r="BN172" s="55">
        <v>0</v>
      </c>
      <c r="BO172" s="55">
        <v>0</v>
      </c>
      <c r="BP172" s="71">
        <v>0</v>
      </c>
      <c r="BQ172" s="55">
        <v>0</v>
      </c>
      <c r="BR172" s="55">
        <v>579887.30000000005</v>
      </c>
      <c r="BS172" s="55"/>
      <c r="BT172" s="55"/>
      <c r="BU172" s="55">
        <v>0</v>
      </c>
      <c r="BV172" s="55">
        <v>0</v>
      </c>
      <c r="BW172" s="55">
        <v>0</v>
      </c>
      <c r="BX172" s="55">
        <v>0</v>
      </c>
      <c r="BY172" s="55">
        <v>0</v>
      </c>
      <c r="BZ172" s="55">
        <v>58462.29</v>
      </c>
      <c r="CA172" s="55"/>
      <c r="CB172" s="64">
        <v>11874.827044</v>
      </c>
    </row>
    <row r="173" spans="1:80" x14ac:dyDescent="0.25">
      <c r="A173" s="52">
        <f t="shared" si="50"/>
        <v>156</v>
      </c>
      <c r="B173" s="53">
        <f t="shared" si="51"/>
        <v>156</v>
      </c>
      <c r="C173" s="53" t="s">
        <v>250</v>
      </c>
      <c r="D173" s="53" t="s">
        <v>251</v>
      </c>
      <c r="E173" s="54">
        <v>1982</v>
      </c>
      <c r="F173" s="54">
        <v>1982</v>
      </c>
      <c r="G173" s="54" t="s">
        <v>64</v>
      </c>
      <c r="H173" s="54">
        <v>5</v>
      </c>
      <c r="I173" s="54">
        <v>1</v>
      </c>
      <c r="J173" s="55">
        <v>982.9</v>
      </c>
      <c r="K173" s="55">
        <v>982.9</v>
      </c>
      <c r="L173" s="55">
        <v>0</v>
      </c>
      <c r="M173" s="56">
        <v>23</v>
      </c>
      <c r="N173" s="57">
        <v>3842006.1097638099</v>
      </c>
      <c r="O173" s="55"/>
      <c r="P173" s="63"/>
      <c r="Q173" s="63"/>
      <c r="R173" s="63">
        <v>310089.55</v>
      </c>
      <c r="S173" s="63">
        <v>3531916.5597638101</v>
      </c>
      <c r="T173" s="63">
        <v>0</v>
      </c>
      <c r="U173" s="55">
        <v>3908.8474003091001</v>
      </c>
      <c r="V173" s="55">
        <v>3908.8474003091001</v>
      </c>
      <c r="W173" s="59">
        <v>2022</v>
      </c>
      <c r="X173" s="6" t="e">
        <v>#REF!</v>
      </c>
      <c r="Z173" s="62">
        <f t="shared" si="53"/>
        <v>25846647.639999997</v>
      </c>
      <c r="AA173" s="55">
        <v>3015626.05896552</v>
      </c>
      <c r="AB173" s="55">
        <v>1381996.98965328</v>
      </c>
      <c r="AC173" s="55">
        <v>1398423.8962755599</v>
      </c>
      <c r="AD173" s="55">
        <v>910108.47884879995</v>
      </c>
      <c r="AE173" s="55">
        <v>0</v>
      </c>
      <c r="AF173" s="55"/>
      <c r="AG173" s="55">
        <v>91642.682540640002</v>
      </c>
      <c r="AH173" s="55">
        <v>0</v>
      </c>
      <c r="AI173" s="55">
        <v>7209302.2726031998</v>
      </c>
      <c r="AJ173" s="55">
        <v>0</v>
      </c>
      <c r="AK173" s="55">
        <v>3664064.33732724</v>
      </c>
      <c r="AL173" s="55">
        <v>4963125.4813509602</v>
      </c>
      <c r="AM173" s="55">
        <v>2458924.8816</v>
      </c>
      <c r="AN173" s="63">
        <v>258466.47640000001</v>
      </c>
      <c r="AO173" s="64">
        <v>494966.08443480002</v>
      </c>
      <c r="AP173" s="61">
        <f>+N173-'Приложение №2'!E173</f>
        <v>0</v>
      </c>
      <c r="AQ173" s="6">
        <f>344430.27</f>
        <v>344430.27</v>
      </c>
      <c r="AR173" s="3">
        <f t="shared" si="54"/>
        <v>100255.8</v>
      </c>
      <c r="AS173" s="3">
        <f t="shared" si="55"/>
        <v>3538440</v>
      </c>
      <c r="AT173" s="6">
        <f t="shared" si="52"/>
        <v>-6523.4402361898683</v>
      </c>
      <c r="AW173" s="62">
        <f t="shared" si="48"/>
        <v>3842006.1097638123</v>
      </c>
      <c r="AX173" s="55"/>
      <c r="AY173" s="55"/>
      <c r="AZ173" s="55"/>
      <c r="BA173" s="55"/>
      <c r="BB173" s="55"/>
      <c r="BC173" s="55"/>
      <c r="BD173" s="55"/>
      <c r="BE173" s="55"/>
      <c r="BF173" s="55">
        <v>1229943.21</v>
      </c>
      <c r="BG173" s="55"/>
      <c r="BH173" s="55"/>
      <c r="BI173" s="55">
        <v>2522771.4</v>
      </c>
      <c r="BJ173" s="55"/>
      <c r="BK173" s="63"/>
      <c r="BL173" s="64">
        <v>89291.499763812506</v>
      </c>
      <c r="BM173" s="8">
        <f t="shared" si="49"/>
        <v>3842006.1097638123</v>
      </c>
      <c r="BN173" s="55"/>
      <c r="BO173" s="55"/>
      <c r="BP173" s="71"/>
      <c r="BQ173" s="55"/>
      <c r="BR173" s="55"/>
      <c r="BS173" s="55"/>
      <c r="BT173" s="55"/>
      <c r="BU173" s="55"/>
      <c r="BV173" s="55">
        <v>1229943.21</v>
      </c>
      <c r="BW173" s="55"/>
      <c r="BX173" s="55"/>
      <c r="BY173" s="55">
        <v>2522771.4</v>
      </c>
      <c r="BZ173" s="55"/>
      <c r="CA173" s="63"/>
      <c r="CB173" s="64">
        <v>89291.499763812506</v>
      </c>
    </row>
    <row r="174" spans="1:80" x14ac:dyDescent="0.25">
      <c r="A174" s="52">
        <f t="shared" si="50"/>
        <v>157</v>
      </c>
      <c r="B174" s="53">
        <f t="shared" si="51"/>
        <v>157</v>
      </c>
      <c r="C174" s="53" t="s">
        <v>250</v>
      </c>
      <c r="D174" s="53" t="s">
        <v>252</v>
      </c>
      <c r="E174" s="54">
        <v>1979</v>
      </c>
      <c r="F174" s="54">
        <v>2013</v>
      </c>
      <c r="G174" s="54" t="s">
        <v>64</v>
      </c>
      <c r="H174" s="54">
        <v>4</v>
      </c>
      <c r="I174" s="54">
        <v>2</v>
      </c>
      <c r="J174" s="55">
        <v>1304.3</v>
      </c>
      <c r="K174" s="55">
        <v>1304.3</v>
      </c>
      <c r="L174" s="55">
        <v>0</v>
      </c>
      <c r="M174" s="56">
        <v>47</v>
      </c>
      <c r="N174" s="57">
        <v>2326131.7975841798</v>
      </c>
      <c r="O174" s="55"/>
      <c r="P174" s="63"/>
      <c r="Q174" s="63"/>
      <c r="R174" s="63">
        <v>446256.02</v>
      </c>
      <c r="S174" s="63">
        <v>1879875.77758418</v>
      </c>
      <c r="T174" s="63">
        <v>0</v>
      </c>
      <c r="U174" s="55">
        <v>1783.43310402835</v>
      </c>
      <c r="V174" s="55">
        <v>1783.43310402835</v>
      </c>
      <c r="W174" s="59">
        <v>2022</v>
      </c>
      <c r="X174" s="6" t="e">
        <v>#REF!</v>
      </c>
      <c r="Z174" s="62">
        <f t="shared" si="53"/>
        <v>28614187.700000003</v>
      </c>
      <c r="AA174" s="55">
        <v>0</v>
      </c>
      <c r="AB174" s="55">
        <v>0</v>
      </c>
      <c r="AC174" s="55">
        <v>1925825.0481519001</v>
      </c>
      <c r="AD174" s="55">
        <v>1253346.5063616</v>
      </c>
      <c r="AE174" s="55">
        <v>0</v>
      </c>
      <c r="AF174" s="55"/>
      <c r="AG174" s="55">
        <v>0</v>
      </c>
      <c r="AH174" s="55">
        <v>0</v>
      </c>
      <c r="AI174" s="55">
        <v>9928216.292715</v>
      </c>
      <c r="AJ174" s="55">
        <v>0</v>
      </c>
      <c r="AK174" s="55">
        <v>5045928.4281096598</v>
      </c>
      <c r="AL174" s="55">
        <v>6834917.0833343398</v>
      </c>
      <c r="AM174" s="55">
        <v>2793370.4105000002</v>
      </c>
      <c r="AN174" s="63">
        <v>286141.87699999998</v>
      </c>
      <c r="AO174" s="64">
        <v>546442.05382749997</v>
      </c>
      <c r="AP174" s="61">
        <f>+N174-'Приложение №2'!E174</f>
        <v>0</v>
      </c>
      <c r="AQ174" s="6">
        <f>505122.22</f>
        <v>505122.22</v>
      </c>
      <c r="AR174" s="3">
        <f t="shared" si="54"/>
        <v>133038.6</v>
      </c>
      <c r="AS174" s="3">
        <f t="shared" si="55"/>
        <v>4695480</v>
      </c>
      <c r="AT174" s="6">
        <f t="shared" si="52"/>
        <v>-2815604.2224158198</v>
      </c>
      <c r="AW174" s="62">
        <f t="shared" si="48"/>
        <v>2326131.7975841803</v>
      </c>
      <c r="AX174" s="55">
        <v>0</v>
      </c>
      <c r="AY174" s="55">
        <v>0</v>
      </c>
      <c r="AZ174" s="55"/>
      <c r="BA174" s="55"/>
      <c r="BB174" s="55"/>
      <c r="BC174" s="55"/>
      <c r="BD174" s="55"/>
      <c r="BE174" s="55"/>
      <c r="BF174" s="55">
        <v>2093523.54</v>
      </c>
      <c r="BG174" s="55"/>
      <c r="BH174" s="55"/>
      <c r="BI174" s="55"/>
      <c r="BJ174" s="55"/>
      <c r="BK174" s="63"/>
      <c r="BL174" s="64">
        <v>232608.25758418001</v>
      </c>
      <c r="BM174" s="8">
        <f t="shared" si="49"/>
        <v>2326131.7975841803</v>
      </c>
      <c r="BN174" s="55">
        <v>0</v>
      </c>
      <c r="BO174" s="55">
        <v>0</v>
      </c>
      <c r="BP174" s="71"/>
      <c r="BQ174" s="55"/>
      <c r="BR174" s="55"/>
      <c r="BS174" s="55"/>
      <c r="BT174" s="55"/>
      <c r="BU174" s="55"/>
      <c r="BV174" s="55">
        <v>2093523.54</v>
      </c>
      <c r="BW174" s="55"/>
      <c r="BX174" s="55"/>
      <c r="BY174" s="55"/>
      <c r="BZ174" s="55"/>
      <c r="CA174" s="63"/>
      <c r="CB174" s="64">
        <v>232608.25758418001</v>
      </c>
    </row>
    <row r="175" spans="1:80" x14ac:dyDescent="0.25">
      <c r="A175" s="52">
        <f t="shared" si="50"/>
        <v>158</v>
      </c>
      <c r="B175" s="53">
        <f t="shared" si="51"/>
        <v>158</v>
      </c>
      <c r="C175" s="53" t="s">
        <v>250</v>
      </c>
      <c r="D175" s="53" t="s">
        <v>253</v>
      </c>
      <c r="E175" s="54">
        <v>1989</v>
      </c>
      <c r="F175" s="54">
        <v>2013</v>
      </c>
      <c r="G175" s="54" t="s">
        <v>64</v>
      </c>
      <c r="H175" s="54">
        <v>5</v>
      </c>
      <c r="I175" s="54">
        <v>3</v>
      </c>
      <c r="J175" s="55">
        <v>2867.1</v>
      </c>
      <c r="K175" s="55">
        <v>2862</v>
      </c>
      <c r="L175" s="55">
        <v>0</v>
      </c>
      <c r="M175" s="56">
        <v>82</v>
      </c>
      <c r="N175" s="57">
        <v>1546028.3117803601</v>
      </c>
      <c r="O175" s="55"/>
      <c r="P175" s="63"/>
      <c r="Q175" s="63"/>
      <c r="R175" s="63">
        <v>1546028.3117803601</v>
      </c>
      <c r="S175" s="63"/>
      <c r="T175" s="63"/>
      <c r="U175" s="55">
        <v>540.191583431293</v>
      </c>
      <c r="V175" s="55">
        <v>540.191583431293</v>
      </c>
      <c r="W175" s="59">
        <v>2022</v>
      </c>
      <c r="X175" s="6" t="e">
        <v>#REF!</v>
      </c>
      <c r="Z175" s="62">
        <f t="shared" si="53"/>
        <v>8541004.8900000006</v>
      </c>
      <c r="AA175" s="55">
        <v>0</v>
      </c>
      <c r="AB175" s="55">
        <v>0</v>
      </c>
      <c r="AC175" s="55">
        <v>4445034.5403198004</v>
      </c>
      <c r="AD175" s="55">
        <v>2892873.6360392398</v>
      </c>
      <c r="AE175" s="55">
        <v>0</v>
      </c>
      <c r="AF175" s="55"/>
      <c r="AG175" s="55">
        <v>0</v>
      </c>
      <c r="AH175" s="55">
        <v>0</v>
      </c>
      <c r="AI175" s="55">
        <v>0</v>
      </c>
      <c r="AJ175" s="55">
        <v>0</v>
      </c>
      <c r="AK175" s="55">
        <v>0</v>
      </c>
      <c r="AL175" s="55">
        <v>0</v>
      </c>
      <c r="AM175" s="55">
        <v>957221.47470000002</v>
      </c>
      <c r="AN175" s="63">
        <v>85410.048899999994</v>
      </c>
      <c r="AO175" s="64">
        <v>160465.19004096001</v>
      </c>
      <c r="AP175" s="61">
        <f>+N175-'Приложение №2'!E175</f>
        <v>0</v>
      </c>
      <c r="AQ175" s="1">
        <v>853930.16</v>
      </c>
      <c r="AR175" s="3">
        <f t="shared" si="54"/>
        <v>291924</v>
      </c>
      <c r="AS175" s="3">
        <f t="shared" si="55"/>
        <v>10303200</v>
      </c>
      <c r="AT175" s="6">
        <f t="shared" si="52"/>
        <v>-10303200</v>
      </c>
      <c r="AW175" s="62">
        <f t="shared" si="48"/>
        <v>1546028.3117803601</v>
      </c>
      <c r="AX175" s="55">
        <v>0</v>
      </c>
      <c r="AY175" s="55">
        <v>0</v>
      </c>
      <c r="AZ175" s="55"/>
      <c r="BA175" s="55"/>
      <c r="BB175" s="55"/>
      <c r="BC175" s="55"/>
      <c r="BD175" s="55"/>
      <c r="BE175" s="55"/>
      <c r="BF175" s="55"/>
      <c r="BG175" s="55"/>
      <c r="BH175" s="55">
        <v>0</v>
      </c>
      <c r="BI175" s="55">
        <v>539462.39</v>
      </c>
      <c r="BJ175" s="55"/>
      <c r="BK175" s="63"/>
      <c r="BL175" s="64">
        <v>1006565.92178036</v>
      </c>
      <c r="BM175" s="8">
        <f t="shared" si="49"/>
        <v>1546028.3117803601</v>
      </c>
      <c r="BN175" s="55">
        <v>0</v>
      </c>
      <c r="BO175" s="55">
        <v>0</v>
      </c>
      <c r="BP175" s="71"/>
      <c r="BQ175" s="55"/>
      <c r="BR175" s="55"/>
      <c r="BS175" s="55"/>
      <c r="BT175" s="55"/>
      <c r="BU175" s="55"/>
      <c r="BV175" s="55"/>
      <c r="BW175" s="55"/>
      <c r="BX175" s="55">
        <v>0</v>
      </c>
      <c r="BY175" s="55">
        <v>539462.39</v>
      </c>
      <c r="BZ175" s="55"/>
      <c r="CA175" s="63"/>
      <c r="CB175" s="64">
        <v>1006565.92178036</v>
      </c>
    </row>
    <row r="176" spans="1:80" x14ac:dyDescent="0.25">
      <c r="A176" s="52">
        <f t="shared" si="50"/>
        <v>159</v>
      </c>
      <c r="B176" s="53">
        <f t="shared" si="51"/>
        <v>159</v>
      </c>
      <c r="C176" s="53" t="s">
        <v>254</v>
      </c>
      <c r="D176" s="53" t="s">
        <v>255</v>
      </c>
      <c r="E176" s="54">
        <v>1972</v>
      </c>
      <c r="F176" s="54">
        <v>1984</v>
      </c>
      <c r="G176" s="54" t="s">
        <v>64</v>
      </c>
      <c r="H176" s="54">
        <v>4</v>
      </c>
      <c r="I176" s="54">
        <v>2</v>
      </c>
      <c r="J176" s="55">
        <v>1930.2</v>
      </c>
      <c r="K176" s="55">
        <v>1800.4</v>
      </c>
      <c r="L176" s="55">
        <v>0</v>
      </c>
      <c r="M176" s="56">
        <v>51</v>
      </c>
      <c r="N176" s="62">
        <v>14861650.1083443</v>
      </c>
      <c r="O176" s="55"/>
      <c r="P176" s="63">
        <v>3669216.29</v>
      </c>
      <c r="Q176" s="63"/>
      <c r="R176" s="63">
        <v>820153.95</v>
      </c>
      <c r="S176" s="63">
        <v>6694161.2183442796</v>
      </c>
      <c r="T176" s="55">
        <v>3678118.65</v>
      </c>
      <c r="U176" s="63">
        <v>8254.6379184316193</v>
      </c>
      <c r="V176" s="63">
        <v>8254.6379184316193</v>
      </c>
      <c r="W176" s="59">
        <v>2022</v>
      </c>
      <c r="X176" s="6" t="e">
        <v>#REF!</v>
      </c>
      <c r="Z176" s="62">
        <f t="shared" si="53"/>
        <v>29490722.483320005</v>
      </c>
      <c r="AA176" s="55">
        <v>3709825.8866268601</v>
      </c>
      <c r="AB176" s="55">
        <v>1713921.9573709799</v>
      </c>
      <c r="AC176" s="55">
        <v>1736279.30300328</v>
      </c>
      <c r="AD176" s="55">
        <v>1121604.8779529999</v>
      </c>
      <c r="AE176" s="55">
        <v>0</v>
      </c>
      <c r="AF176" s="55"/>
      <c r="AG176" s="55">
        <v>0</v>
      </c>
      <c r="AH176" s="55">
        <v>0</v>
      </c>
      <c r="AI176" s="55">
        <v>8717365.7281746008</v>
      </c>
      <c r="AJ176" s="55">
        <v>0</v>
      </c>
      <c r="AK176" s="55">
        <v>4503240.0913059004</v>
      </c>
      <c r="AL176" s="55">
        <v>4830668.1100000003</v>
      </c>
      <c r="AM176" s="55">
        <v>2380364.9164</v>
      </c>
      <c r="AN176" s="63">
        <v>273293.73690000002</v>
      </c>
      <c r="AO176" s="64">
        <v>504157.87558538001</v>
      </c>
      <c r="AP176" s="61">
        <f>+N176-'Приложение №2'!E176</f>
        <v>2.0489096641540527E-8</v>
      </c>
      <c r="AQ176" s="1">
        <v>636513.13</v>
      </c>
      <c r="AR176" s="3">
        <f t="shared" si="54"/>
        <v>183640.8</v>
      </c>
      <c r="AS176" s="3">
        <f t="shared" si="55"/>
        <v>6481440</v>
      </c>
      <c r="AT176" s="6">
        <f t="shared" si="52"/>
        <v>212721.21834427956</v>
      </c>
      <c r="AW176" s="62">
        <f t="shared" si="48"/>
        <v>14861650.108344279</v>
      </c>
      <c r="AX176" s="55">
        <v>3185792.78</v>
      </c>
      <c r="AY176" s="55">
        <v>811520.58</v>
      </c>
      <c r="AZ176" s="55">
        <v>739091.37</v>
      </c>
      <c r="BA176" s="55"/>
      <c r="BB176" s="55">
        <v>0</v>
      </c>
      <c r="BC176" s="55"/>
      <c r="BD176" s="55"/>
      <c r="BE176" s="55">
        <v>0</v>
      </c>
      <c r="BF176" s="55">
        <v>5126751.9400000004</v>
      </c>
      <c r="BG176" s="55">
        <v>0</v>
      </c>
      <c r="BH176" s="55"/>
      <c r="BI176" s="55">
        <v>4617339.53</v>
      </c>
      <c r="BJ176" s="55"/>
      <c r="BK176" s="63"/>
      <c r="BL176" s="64">
        <v>381153.90834427997</v>
      </c>
      <c r="BM176" s="8">
        <f t="shared" si="49"/>
        <v>14861650.108344279</v>
      </c>
      <c r="BN176" s="55">
        <v>3185792.78</v>
      </c>
      <c r="BO176" s="55">
        <v>811520.58</v>
      </c>
      <c r="BP176" s="71">
        <v>739091.37</v>
      </c>
      <c r="BQ176" s="55"/>
      <c r="BR176" s="55">
        <v>0</v>
      </c>
      <c r="BS176" s="55"/>
      <c r="BT176" s="55"/>
      <c r="BU176" s="55">
        <v>0</v>
      </c>
      <c r="BV176" s="55">
        <v>5126751.9400000004</v>
      </c>
      <c r="BW176" s="55">
        <v>0</v>
      </c>
      <c r="BX176" s="55"/>
      <c r="BY176" s="55">
        <v>4617339.53</v>
      </c>
      <c r="BZ176" s="55"/>
      <c r="CA176" s="63"/>
      <c r="CB176" s="64">
        <v>381153.90834427997</v>
      </c>
    </row>
    <row r="177" spans="1:80" x14ac:dyDescent="0.25">
      <c r="A177" s="52">
        <f t="shared" si="50"/>
        <v>160</v>
      </c>
      <c r="B177" s="53">
        <f t="shared" si="51"/>
        <v>160</v>
      </c>
      <c r="C177" s="53" t="s">
        <v>256</v>
      </c>
      <c r="D177" s="53" t="s">
        <v>257</v>
      </c>
      <c r="E177" s="54">
        <v>1986</v>
      </c>
      <c r="F177" s="54">
        <v>1986</v>
      </c>
      <c r="G177" s="54" t="s">
        <v>64</v>
      </c>
      <c r="H177" s="54">
        <v>2</v>
      </c>
      <c r="I177" s="54">
        <v>3</v>
      </c>
      <c r="J177" s="55">
        <v>946.5</v>
      </c>
      <c r="K177" s="55">
        <v>797.7</v>
      </c>
      <c r="L177" s="55">
        <v>0</v>
      </c>
      <c r="M177" s="56">
        <v>25</v>
      </c>
      <c r="N177" s="62">
        <v>4147111.6458220002</v>
      </c>
      <c r="O177" s="55"/>
      <c r="P177" s="63">
        <v>1957073.09333333</v>
      </c>
      <c r="Q177" s="63"/>
      <c r="R177" s="63">
        <v>202536.72</v>
      </c>
      <c r="S177" s="63">
        <v>1050861.08</v>
      </c>
      <c r="T177" s="55">
        <v>936640.75248866703</v>
      </c>
      <c r="U177" s="63">
        <v>5198.8362113852299</v>
      </c>
      <c r="V177" s="63">
        <v>5198.8362113852299</v>
      </c>
      <c r="W177" s="59">
        <v>2022</v>
      </c>
      <c r="X177" s="6" t="e">
        <v>#REF!</v>
      </c>
      <c r="Z177" s="62">
        <f t="shared" si="53"/>
        <v>7124617.0800000001</v>
      </c>
      <c r="AA177" s="55">
        <v>0</v>
      </c>
      <c r="AB177" s="55">
        <v>0</v>
      </c>
      <c r="AC177" s="55">
        <v>0</v>
      </c>
      <c r="AD177" s="55">
        <v>0</v>
      </c>
      <c r="AE177" s="55">
        <v>0</v>
      </c>
      <c r="AF177" s="55"/>
      <c r="AG177" s="55">
        <v>0</v>
      </c>
      <c r="AH177" s="55">
        <v>0</v>
      </c>
      <c r="AI177" s="55">
        <v>0</v>
      </c>
      <c r="AJ177" s="55">
        <v>0</v>
      </c>
      <c r="AK177" s="55">
        <v>0</v>
      </c>
      <c r="AL177" s="55">
        <v>6205213.7442943202</v>
      </c>
      <c r="AM177" s="55">
        <v>712461.70799999998</v>
      </c>
      <c r="AN177" s="63">
        <v>71246.170800000007</v>
      </c>
      <c r="AO177" s="64">
        <v>135695.45690568001</v>
      </c>
      <c r="AP177" s="61">
        <f>+N177-'Приложение №2'!E177</f>
        <v>0</v>
      </c>
      <c r="AQ177" s="1">
        <f>309904.68-196260.96</f>
        <v>113643.72</v>
      </c>
      <c r="AR177" s="3">
        <f t="shared" si="54"/>
        <v>81365.399999999994</v>
      </c>
      <c r="AS177" s="3">
        <f>+(K177*10+L177*20)*12*30-2086538.92</f>
        <v>785181.08000000007</v>
      </c>
      <c r="AT177" s="6">
        <f t="shared" si="52"/>
        <v>265680</v>
      </c>
      <c r="AW177" s="62">
        <f t="shared" si="48"/>
        <v>4147111.6458220002</v>
      </c>
      <c r="AX177" s="55">
        <v>0</v>
      </c>
      <c r="AY177" s="55">
        <v>0</v>
      </c>
      <c r="AZ177" s="55">
        <v>0</v>
      </c>
      <c r="BA177" s="55">
        <v>0</v>
      </c>
      <c r="BB177" s="55">
        <v>0</v>
      </c>
      <c r="BC177" s="55"/>
      <c r="BD177" s="55"/>
      <c r="BE177" s="55">
        <v>0</v>
      </c>
      <c r="BF177" s="55">
        <v>0</v>
      </c>
      <c r="BG177" s="55">
        <v>0</v>
      </c>
      <c r="BH177" s="55">
        <v>0</v>
      </c>
      <c r="BI177" s="55">
        <v>3880712.95</v>
      </c>
      <c r="BJ177" s="55">
        <v>63874.52</v>
      </c>
      <c r="BK177" s="63">
        <v>52548.83</v>
      </c>
      <c r="BL177" s="64">
        <v>149975.345822</v>
      </c>
      <c r="BM177" s="8">
        <f t="shared" si="49"/>
        <v>4147111.6458220002</v>
      </c>
      <c r="BN177" s="55">
        <v>0</v>
      </c>
      <c r="BO177" s="55">
        <v>0</v>
      </c>
      <c r="BP177" s="71">
        <v>0</v>
      </c>
      <c r="BQ177" s="55">
        <v>0</v>
      </c>
      <c r="BR177" s="55">
        <v>0</v>
      </c>
      <c r="BS177" s="55"/>
      <c r="BT177" s="55"/>
      <c r="BU177" s="55">
        <v>0</v>
      </c>
      <c r="BV177" s="55">
        <v>0</v>
      </c>
      <c r="BW177" s="55">
        <v>0</v>
      </c>
      <c r="BX177" s="55">
        <v>0</v>
      </c>
      <c r="BY177" s="55">
        <v>3880712.95</v>
      </c>
      <c r="BZ177" s="55">
        <v>63874.52</v>
      </c>
      <c r="CA177" s="63">
        <v>52548.83</v>
      </c>
      <c r="CB177" s="64">
        <v>149975.345822</v>
      </c>
    </row>
    <row r="178" spans="1:80" x14ac:dyDescent="0.25">
      <c r="A178" s="52">
        <f t="shared" si="50"/>
        <v>161</v>
      </c>
      <c r="B178" s="53">
        <f t="shared" si="51"/>
        <v>161</v>
      </c>
      <c r="C178" s="53" t="s">
        <v>256</v>
      </c>
      <c r="D178" s="53" t="s">
        <v>258</v>
      </c>
      <c r="E178" s="54">
        <v>1986</v>
      </c>
      <c r="F178" s="54">
        <v>1986</v>
      </c>
      <c r="G178" s="54" t="s">
        <v>64</v>
      </c>
      <c r="H178" s="54">
        <v>4</v>
      </c>
      <c r="I178" s="54">
        <v>4</v>
      </c>
      <c r="J178" s="55">
        <v>3420.4</v>
      </c>
      <c r="K178" s="55">
        <v>2641.9</v>
      </c>
      <c r="L178" s="55">
        <v>0</v>
      </c>
      <c r="M178" s="56">
        <v>102</v>
      </c>
      <c r="N178" s="62">
        <v>7160735.1737980004</v>
      </c>
      <c r="O178" s="55"/>
      <c r="P178" s="63"/>
      <c r="Q178" s="63"/>
      <c r="R178" s="63">
        <v>1164386.93</v>
      </c>
      <c r="S178" s="63">
        <v>5996348.2437979998</v>
      </c>
      <c r="T178" s="55">
        <v>0</v>
      </c>
      <c r="U178" s="63">
        <v>2710.4489851235799</v>
      </c>
      <c r="V178" s="63">
        <v>2710.4489851235799</v>
      </c>
      <c r="W178" s="59">
        <v>2022</v>
      </c>
      <c r="X178" s="6" t="e">
        <v>#REF!</v>
      </c>
      <c r="Z178" s="62">
        <f t="shared" si="53"/>
        <v>21968812.859999999</v>
      </c>
      <c r="AA178" s="55">
        <v>0</v>
      </c>
      <c r="AB178" s="55">
        <v>0</v>
      </c>
      <c r="AC178" s="55">
        <v>0</v>
      </c>
      <c r="AD178" s="55">
        <v>0</v>
      </c>
      <c r="AE178" s="55">
        <v>0</v>
      </c>
      <c r="AF178" s="55"/>
      <c r="AG178" s="55">
        <v>0</v>
      </c>
      <c r="AH178" s="55">
        <v>0</v>
      </c>
      <c r="AI178" s="55">
        <v>12571294.6707264</v>
      </c>
      <c r="AJ178" s="55">
        <v>0</v>
      </c>
      <c r="AK178" s="55">
        <v>0</v>
      </c>
      <c r="AL178" s="55">
        <v>6702211.8168390002</v>
      </c>
      <c r="AM178" s="55">
        <v>2054145.6924000001</v>
      </c>
      <c r="AN178" s="63">
        <v>219688.1286</v>
      </c>
      <c r="AO178" s="64">
        <v>421472.55143460003</v>
      </c>
      <c r="AP178" s="61">
        <f>+N178-'Приложение №2'!E178</f>
        <v>0</v>
      </c>
      <c r="AQ178" s="1">
        <v>1184809.02</v>
      </c>
      <c r="AR178" s="3">
        <f t="shared" si="54"/>
        <v>269473.8</v>
      </c>
      <c r="AS178" s="3">
        <f>+(K178*10+L178*20)*12*30</f>
        <v>9510840</v>
      </c>
      <c r="AT178" s="6">
        <f t="shared" si="52"/>
        <v>-3514491.7562020002</v>
      </c>
      <c r="AW178" s="62">
        <f t="shared" ref="AW178:AW209" si="56">SUBTOTAL(9, AX178:BL178)</f>
        <v>7160735.1737979995</v>
      </c>
      <c r="AX178" s="55">
        <v>0</v>
      </c>
      <c r="AY178" s="55">
        <v>0</v>
      </c>
      <c r="AZ178" s="55">
        <v>0</v>
      </c>
      <c r="BA178" s="55">
        <v>0</v>
      </c>
      <c r="BB178" s="55">
        <v>0</v>
      </c>
      <c r="BC178" s="55"/>
      <c r="BD178" s="55"/>
      <c r="BE178" s="55">
        <v>0</v>
      </c>
      <c r="BF178" s="55">
        <v>6406790.6799999997</v>
      </c>
      <c r="BG178" s="55">
        <v>0</v>
      </c>
      <c r="BH178" s="55">
        <v>0</v>
      </c>
      <c r="BI178" s="55"/>
      <c r="BJ178" s="55">
        <v>228114.94</v>
      </c>
      <c r="BK178" s="63">
        <v>61903.35</v>
      </c>
      <c r="BL178" s="64">
        <v>463926.203798</v>
      </c>
      <c r="BM178" s="8">
        <f t="shared" ref="BM178:BM209" si="57">SUBTOTAL(9, BN178:CB178)</f>
        <v>7160735.1737979995</v>
      </c>
      <c r="BN178" s="55">
        <v>0</v>
      </c>
      <c r="BO178" s="55">
        <v>0</v>
      </c>
      <c r="BP178" s="71">
        <v>0</v>
      </c>
      <c r="BQ178" s="55">
        <v>0</v>
      </c>
      <c r="BR178" s="55">
        <v>0</v>
      </c>
      <c r="BS178" s="55"/>
      <c r="BT178" s="55"/>
      <c r="BU178" s="55">
        <v>0</v>
      </c>
      <c r="BV178" s="55">
        <v>6406790.6799999997</v>
      </c>
      <c r="BW178" s="55">
        <v>0</v>
      </c>
      <c r="BX178" s="55">
        <v>0</v>
      </c>
      <c r="BY178" s="55"/>
      <c r="BZ178" s="55">
        <v>228114.94</v>
      </c>
      <c r="CA178" s="63">
        <v>61903.35</v>
      </c>
      <c r="CB178" s="64">
        <v>463926.203798</v>
      </c>
    </row>
    <row r="179" spans="1:80" x14ac:dyDescent="0.25">
      <c r="A179" s="52">
        <f t="shared" ref="A179:A205" si="58">+A178+1</f>
        <v>162</v>
      </c>
      <c r="B179" s="53">
        <f t="shared" ref="B179:B205" si="59">+B178+1</f>
        <v>162</v>
      </c>
      <c r="C179" s="53" t="s">
        <v>256</v>
      </c>
      <c r="D179" s="53" t="s">
        <v>259</v>
      </c>
      <c r="E179" s="54">
        <v>1974</v>
      </c>
      <c r="F179" s="54">
        <v>1974</v>
      </c>
      <c r="G179" s="54" t="s">
        <v>64</v>
      </c>
      <c r="H179" s="54">
        <v>4</v>
      </c>
      <c r="I179" s="54">
        <v>4</v>
      </c>
      <c r="J179" s="55">
        <v>1999.2</v>
      </c>
      <c r="K179" s="55">
        <v>1458.9</v>
      </c>
      <c r="L179" s="55">
        <v>314.60000000000002</v>
      </c>
      <c r="M179" s="56">
        <v>57</v>
      </c>
      <c r="N179" s="62">
        <v>5095856.215392</v>
      </c>
      <c r="O179" s="55"/>
      <c r="P179" s="63"/>
      <c r="Q179" s="63"/>
      <c r="R179" s="63">
        <v>1064233.07</v>
      </c>
      <c r="S179" s="63">
        <v>4031623.1453920002</v>
      </c>
      <c r="T179" s="55">
        <v>0</v>
      </c>
      <c r="U179" s="63">
        <v>2873.3330788790499</v>
      </c>
      <c r="V179" s="63">
        <v>2873.3330788790499</v>
      </c>
      <c r="W179" s="59">
        <v>2022</v>
      </c>
      <c r="X179" s="6" t="e">
        <v>#REF!</v>
      </c>
      <c r="Z179" s="62">
        <f t="shared" si="53"/>
        <v>9558548.6999999993</v>
      </c>
      <c r="AA179" s="55">
        <v>0</v>
      </c>
      <c r="AB179" s="55">
        <v>0</v>
      </c>
      <c r="AC179" s="55">
        <v>0</v>
      </c>
      <c r="AD179" s="55">
        <v>0</v>
      </c>
      <c r="AE179" s="55">
        <v>0</v>
      </c>
      <c r="AF179" s="55"/>
      <c r="AG179" s="55">
        <v>0</v>
      </c>
      <c r="AH179" s="55">
        <v>0</v>
      </c>
      <c r="AI179" s="55">
        <v>8418596.1820379999</v>
      </c>
      <c r="AJ179" s="55">
        <v>0</v>
      </c>
      <c r="AK179" s="55">
        <v>0</v>
      </c>
      <c r="AL179" s="55">
        <v>0</v>
      </c>
      <c r="AM179" s="55">
        <v>860269.38300000003</v>
      </c>
      <c r="AN179" s="63">
        <v>95585.486999999994</v>
      </c>
      <c r="AO179" s="64">
        <v>184097.64796199999</v>
      </c>
      <c r="AP179" s="61">
        <f>+N179-'Приложение №2'!E179</f>
        <v>0</v>
      </c>
      <c r="AQ179" s="1">
        <v>851246.87</v>
      </c>
      <c r="AR179" s="3">
        <f t="shared" si="54"/>
        <v>212986.19999999998</v>
      </c>
      <c r="AS179" s="3">
        <f>+(K179*10+L179*20)*12*30</f>
        <v>7517160</v>
      </c>
      <c r="AT179" s="6">
        <f t="shared" si="52"/>
        <v>-3485536.8546079998</v>
      </c>
      <c r="AW179" s="62">
        <f t="shared" si="56"/>
        <v>5095856.215392</v>
      </c>
      <c r="AX179" s="55">
        <v>0</v>
      </c>
      <c r="AY179" s="55">
        <v>0</v>
      </c>
      <c r="AZ179" s="55">
        <v>0</v>
      </c>
      <c r="BA179" s="55">
        <v>0</v>
      </c>
      <c r="BB179" s="55">
        <v>0</v>
      </c>
      <c r="BC179" s="55"/>
      <c r="BD179" s="55"/>
      <c r="BE179" s="55">
        <v>0</v>
      </c>
      <c r="BF179" s="55">
        <v>4786076.9400000004</v>
      </c>
      <c r="BG179" s="55">
        <v>0</v>
      </c>
      <c r="BH179" s="55">
        <v>0</v>
      </c>
      <c r="BI179" s="55">
        <v>0</v>
      </c>
      <c r="BJ179" s="55">
        <v>92267.42</v>
      </c>
      <c r="BK179" s="63">
        <v>15260</v>
      </c>
      <c r="BL179" s="64">
        <v>202251.855392</v>
      </c>
      <c r="BM179" s="8">
        <f t="shared" si="57"/>
        <v>5095856.215392</v>
      </c>
      <c r="BN179" s="55">
        <v>0</v>
      </c>
      <c r="BO179" s="55">
        <v>0</v>
      </c>
      <c r="BP179" s="71">
        <v>0</v>
      </c>
      <c r="BQ179" s="55">
        <v>0</v>
      </c>
      <c r="BR179" s="55">
        <v>0</v>
      </c>
      <c r="BS179" s="55"/>
      <c r="BT179" s="55"/>
      <c r="BU179" s="55">
        <v>0</v>
      </c>
      <c r="BV179" s="55">
        <v>4786076.9400000004</v>
      </c>
      <c r="BW179" s="55">
        <v>0</v>
      </c>
      <c r="BX179" s="55">
        <v>0</v>
      </c>
      <c r="BY179" s="55">
        <v>0</v>
      </c>
      <c r="BZ179" s="55">
        <v>92267.42</v>
      </c>
      <c r="CA179" s="63">
        <v>15260</v>
      </c>
      <c r="CB179" s="64">
        <v>202251.855392</v>
      </c>
    </row>
    <row r="180" spans="1:80" x14ac:dyDescent="0.25">
      <c r="A180" s="52">
        <f t="shared" si="58"/>
        <v>163</v>
      </c>
      <c r="B180" s="53">
        <f t="shared" si="59"/>
        <v>163</v>
      </c>
      <c r="C180" s="53" t="s">
        <v>260</v>
      </c>
      <c r="D180" s="53" t="s">
        <v>261</v>
      </c>
      <c r="E180" s="54">
        <v>1988</v>
      </c>
      <c r="F180" s="54">
        <v>2011</v>
      </c>
      <c r="G180" s="54" t="s">
        <v>64</v>
      </c>
      <c r="H180" s="54">
        <v>4</v>
      </c>
      <c r="I180" s="54">
        <v>4</v>
      </c>
      <c r="J180" s="55">
        <v>4417.0200000000004</v>
      </c>
      <c r="K180" s="55">
        <v>3086.82</v>
      </c>
      <c r="L180" s="55">
        <v>1330.2</v>
      </c>
      <c r="M180" s="56">
        <v>138</v>
      </c>
      <c r="N180" s="62">
        <v>5687244.3899999997</v>
      </c>
      <c r="O180" s="55"/>
      <c r="P180" s="63">
        <v>4957331.04</v>
      </c>
      <c r="Q180" s="63"/>
      <c r="R180" s="63">
        <v>729913.35</v>
      </c>
      <c r="S180" s="63">
        <v>0</v>
      </c>
      <c r="T180" s="55">
        <v>0</v>
      </c>
      <c r="U180" s="63">
        <v>1287.57496909681</v>
      </c>
      <c r="V180" s="63">
        <v>1287.57496909681</v>
      </c>
      <c r="W180" s="59">
        <v>2022</v>
      </c>
      <c r="X180" s="6" t="e">
        <v>#REF!</v>
      </c>
      <c r="Z180" s="62">
        <f t="shared" si="53"/>
        <v>21715352.68</v>
      </c>
      <c r="AA180" s="55">
        <v>8884367.4585666005</v>
      </c>
      <c r="AB180" s="55">
        <v>0</v>
      </c>
      <c r="AC180" s="55">
        <v>5714558.3855451001</v>
      </c>
      <c r="AD180" s="55">
        <v>4357405.7316862801</v>
      </c>
      <c r="AE180" s="55">
        <v>0</v>
      </c>
      <c r="AF180" s="55"/>
      <c r="AG180" s="55">
        <v>0</v>
      </c>
      <c r="AH180" s="55">
        <v>0</v>
      </c>
      <c r="AI180" s="55">
        <v>0</v>
      </c>
      <c r="AJ180" s="55">
        <v>0</v>
      </c>
      <c r="AK180" s="55">
        <v>0</v>
      </c>
      <c r="AL180" s="55">
        <v>0</v>
      </c>
      <c r="AM180" s="55">
        <v>2127330.9989</v>
      </c>
      <c r="AN180" s="63">
        <v>217153.52679999999</v>
      </c>
      <c r="AO180" s="64">
        <v>414536.57850201998</v>
      </c>
      <c r="AP180" s="61">
        <f>+N180-'Приложение №2'!E180</f>
        <v>0</v>
      </c>
      <c r="AQ180" s="1">
        <v>1145113.48</v>
      </c>
      <c r="AR180" s="3">
        <f t="shared" si="54"/>
        <v>586216.43999999994</v>
      </c>
      <c r="AT180" s="6"/>
      <c r="AW180" s="62">
        <f t="shared" si="56"/>
        <v>5687244.3899999997</v>
      </c>
      <c r="AX180" s="55">
        <v>5464157.29</v>
      </c>
      <c r="AY180" s="55">
        <v>0</v>
      </c>
      <c r="AZ180" s="55"/>
      <c r="BA180" s="55"/>
      <c r="BB180" s="55">
        <v>0</v>
      </c>
      <c r="BC180" s="55"/>
      <c r="BD180" s="55"/>
      <c r="BE180" s="55">
        <v>0</v>
      </c>
      <c r="BF180" s="55">
        <v>0</v>
      </c>
      <c r="BG180" s="55">
        <v>0</v>
      </c>
      <c r="BH180" s="55">
        <v>0</v>
      </c>
      <c r="BI180" s="55">
        <v>0</v>
      </c>
      <c r="BJ180" s="55"/>
      <c r="BK180" s="63"/>
      <c r="BL180" s="64">
        <v>223087.1</v>
      </c>
      <c r="BM180" s="8">
        <f t="shared" si="57"/>
        <v>5687244.3899999997</v>
      </c>
      <c r="BN180" s="55">
        <v>5464157.29</v>
      </c>
      <c r="BO180" s="55">
        <v>0</v>
      </c>
      <c r="BP180" s="71"/>
      <c r="BQ180" s="55"/>
      <c r="BR180" s="55">
        <v>0</v>
      </c>
      <c r="BS180" s="55"/>
      <c r="BT180" s="55"/>
      <c r="BU180" s="55">
        <v>0</v>
      </c>
      <c r="BV180" s="55">
        <v>0</v>
      </c>
      <c r="BW180" s="55">
        <v>0</v>
      </c>
      <c r="BX180" s="55">
        <v>0</v>
      </c>
      <c r="BY180" s="55">
        <v>0</v>
      </c>
      <c r="BZ180" s="55"/>
      <c r="CA180" s="63"/>
      <c r="CB180" s="64">
        <v>223087.1</v>
      </c>
    </row>
    <row r="181" spans="1:80" s="69" customFormat="1" x14ac:dyDescent="0.25">
      <c r="A181" s="52">
        <f t="shared" si="58"/>
        <v>164</v>
      </c>
      <c r="B181" s="53">
        <f t="shared" si="59"/>
        <v>164</v>
      </c>
      <c r="C181" s="53" t="s">
        <v>260</v>
      </c>
      <c r="D181" s="53" t="s">
        <v>262</v>
      </c>
      <c r="E181" s="54" t="s">
        <v>263</v>
      </c>
      <c r="F181" s="54"/>
      <c r="G181" s="54" t="s">
        <v>64</v>
      </c>
      <c r="H181" s="54" t="s">
        <v>184</v>
      </c>
      <c r="I181" s="54" t="s">
        <v>184</v>
      </c>
      <c r="J181" s="55">
        <v>4395.8500000000004</v>
      </c>
      <c r="K181" s="55">
        <v>3069.35</v>
      </c>
      <c r="L181" s="55">
        <v>1326.5</v>
      </c>
      <c r="M181" s="56">
        <v>146</v>
      </c>
      <c r="N181" s="62">
        <v>28300277.879999999</v>
      </c>
      <c r="O181" s="55">
        <v>0</v>
      </c>
      <c r="P181" s="63">
        <v>26747489.989999998</v>
      </c>
      <c r="Q181" s="63">
        <v>0</v>
      </c>
      <c r="R181" s="63">
        <v>1552787.89</v>
      </c>
      <c r="S181" s="63"/>
      <c r="T181" s="55">
        <v>0</v>
      </c>
      <c r="U181" s="63">
        <v>6486.13</v>
      </c>
      <c r="V181" s="63">
        <v>6486.13</v>
      </c>
      <c r="W181" s="59">
        <v>2022</v>
      </c>
      <c r="X181" s="69">
        <v>1133911.74</v>
      </c>
      <c r="Y181" s="69">
        <f>+(K181*9.1+L181*18.19)*12</f>
        <v>624721.44000000006</v>
      </c>
      <c r="AA181" s="70" t="e">
        <v>#REF!</v>
      </c>
      <c r="AD181" s="70" t="e">
        <v>#REF!</v>
      </c>
      <c r="AP181" s="61" t="s">
        <v>264</v>
      </c>
      <c r="AQ181" s="69">
        <v>1313500.1499999999</v>
      </c>
      <c r="AR181" s="3">
        <f t="shared" si="54"/>
        <v>583679.69999999995</v>
      </c>
      <c r="AS181" s="3"/>
      <c r="AT181" s="6"/>
      <c r="AW181" s="62">
        <f t="shared" si="56"/>
        <v>28300277.879999999</v>
      </c>
      <c r="AX181" s="55">
        <v>8079212.4000000004</v>
      </c>
      <c r="AY181" s="55"/>
      <c r="AZ181" s="55">
        <v>3039831.6</v>
      </c>
      <c r="BA181" s="55">
        <v>2344507</v>
      </c>
      <c r="BB181" s="55"/>
      <c r="BC181" s="55"/>
      <c r="BD181" s="55"/>
      <c r="BE181" s="55"/>
      <c r="BF181" s="55">
        <v>14009282.4</v>
      </c>
      <c r="BG181" s="55"/>
      <c r="BH181" s="55"/>
      <c r="BI181" s="55"/>
      <c r="BJ181" s="55">
        <v>700984.03</v>
      </c>
      <c r="BK181" s="63">
        <v>24000</v>
      </c>
      <c r="BL181" s="64">
        <v>102460.45</v>
      </c>
      <c r="BM181" s="8">
        <f t="shared" si="57"/>
        <v>28300277.879999999</v>
      </c>
      <c r="BN181" s="55">
        <v>8079212.4000000004</v>
      </c>
      <c r="BO181" s="55"/>
      <c r="BP181" s="71">
        <v>3039831.6</v>
      </c>
      <c r="BQ181" s="55">
        <v>2344507</v>
      </c>
      <c r="BR181" s="55"/>
      <c r="BS181" s="55"/>
      <c r="BT181" s="55"/>
      <c r="BU181" s="55"/>
      <c r="BV181" s="55">
        <v>14009282.4</v>
      </c>
      <c r="BW181" s="55"/>
      <c r="BX181" s="55"/>
      <c r="BY181" s="55"/>
      <c r="BZ181" s="55">
        <v>700984.03</v>
      </c>
      <c r="CA181" s="63">
        <v>24000</v>
      </c>
      <c r="CB181" s="64">
        <v>102460.45</v>
      </c>
    </row>
    <row r="182" spans="1:80" s="69" customFormat="1" x14ac:dyDescent="0.25">
      <c r="A182" s="52">
        <f t="shared" si="58"/>
        <v>165</v>
      </c>
      <c r="B182" s="53">
        <f t="shared" si="59"/>
        <v>165</v>
      </c>
      <c r="C182" s="53" t="s">
        <v>260</v>
      </c>
      <c r="D182" s="53" t="s">
        <v>265</v>
      </c>
      <c r="E182" s="54" t="s">
        <v>266</v>
      </c>
      <c r="F182" s="54"/>
      <c r="G182" s="54" t="s">
        <v>64</v>
      </c>
      <c r="H182" s="54" t="s">
        <v>184</v>
      </c>
      <c r="I182" s="54" t="s">
        <v>184</v>
      </c>
      <c r="J182" s="55">
        <v>4423.49</v>
      </c>
      <c r="K182" s="55">
        <v>3088.29</v>
      </c>
      <c r="L182" s="55">
        <v>1335.2</v>
      </c>
      <c r="M182" s="56">
        <v>130</v>
      </c>
      <c r="N182" s="62">
        <v>19814143.776263401</v>
      </c>
      <c r="O182" s="55">
        <v>0</v>
      </c>
      <c r="P182" s="63">
        <v>18274358.620000001</v>
      </c>
      <c r="Q182" s="63">
        <v>0</v>
      </c>
      <c r="R182" s="63">
        <v>1539785.1562634399</v>
      </c>
      <c r="S182" s="63"/>
      <c r="T182" s="55">
        <v>0</v>
      </c>
      <c r="U182" s="63">
        <v>3634.91</v>
      </c>
      <c r="V182" s="63">
        <v>3634.91</v>
      </c>
      <c r="W182" s="59">
        <v>2022</v>
      </c>
      <c r="X182" s="69">
        <v>1155454.52</v>
      </c>
      <c r="Y182" s="69">
        <f>+(K182*9.1+L182*18.19)*12</f>
        <v>628688.72399999993</v>
      </c>
      <c r="AA182" s="70" t="e">
        <v>#REF!</v>
      </c>
      <c r="AD182" s="70" t="e">
        <v>#REF!</v>
      </c>
      <c r="AP182" s="61" t="s">
        <v>267</v>
      </c>
      <c r="AQ182" s="69">
        <v>1347428.17</v>
      </c>
      <c r="AR182" s="3">
        <f t="shared" si="54"/>
        <v>587386.38</v>
      </c>
      <c r="AS182" s="3"/>
      <c r="AT182" s="6"/>
      <c r="AW182" s="62">
        <f t="shared" si="56"/>
        <v>19814143.776263442</v>
      </c>
      <c r="AX182" s="55"/>
      <c r="AY182" s="55"/>
      <c r="AZ182" s="55">
        <v>3153436.8</v>
      </c>
      <c r="BA182" s="55">
        <v>2158646.4</v>
      </c>
      <c r="BB182" s="55"/>
      <c r="BC182" s="55"/>
      <c r="BD182" s="55"/>
      <c r="BE182" s="55"/>
      <c r="BF182" s="55">
        <v>13939516.800000001</v>
      </c>
      <c r="BG182" s="55"/>
      <c r="BH182" s="55"/>
      <c r="BI182" s="55"/>
      <c r="BJ182" s="55">
        <v>495096.03</v>
      </c>
      <c r="BK182" s="63">
        <v>24000</v>
      </c>
      <c r="BL182" s="64">
        <v>43447.74626344</v>
      </c>
      <c r="BM182" s="8">
        <f t="shared" si="57"/>
        <v>19814143.776263442</v>
      </c>
      <c r="BN182" s="55"/>
      <c r="BO182" s="55"/>
      <c r="BP182" s="71">
        <v>3153436.8</v>
      </c>
      <c r="BQ182" s="55">
        <v>2158646.4</v>
      </c>
      <c r="BR182" s="55"/>
      <c r="BS182" s="55"/>
      <c r="BT182" s="55"/>
      <c r="BU182" s="55"/>
      <c r="BV182" s="55">
        <v>13939516.800000001</v>
      </c>
      <c r="BW182" s="55"/>
      <c r="BX182" s="55"/>
      <c r="BY182" s="55"/>
      <c r="BZ182" s="55">
        <v>495096.03</v>
      </c>
      <c r="CA182" s="63">
        <v>24000</v>
      </c>
      <c r="CB182" s="64">
        <v>43447.74626344</v>
      </c>
    </row>
    <row r="183" spans="1:80" x14ac:dyDescent="0.25">
      <c r="A183" s="52">
        <f t="shared" si="58"/>
        <v>166</v>
      </c>
      <c r="B183" s="53">
        <f t="shared" si="59"/>
        <v>166</v>
      </c>
      <c r="C183" s="53" t="s">
        <v>260</v>
      </c>
      <c r="D183" s="53" t="s">
        <v>268</v>
      </c>
      <c r="E183" s="54">
        <v>1985</v>
      </c>
      <c r="F183" s="54">
        <v>2011</v>
      </c>
      <c r="G183" s="54" t="s">
        <v>64</v>
      </c>
      <c r="H183" s="54">
        <v>4</v>
      </c>
      <c r="I183" s="54">
        <v>4</v>
      </c>
      <c r="J183" s="55">
        <v>4469.6400000000003</v>
      </c>
      <c r="K183" s="55">
        <v>3113.04</v>
      </c>
      <c r="L183" s="55">
        <v>1356.6</v>
      </c>
      <c r="M183" s="56">
        <v>164</v>
      </c>
      <c r="N183" s="62">
        <v>9802331.1099999994</v>
      </c>
      <c r="O183" s="55"/>
      <c r="P183" s="63">
        <v>9504817.1999999993</v>
      </c>
      <c r="Q183" s="63"/>
      <c r="R183" s="63">
        <v>297513.90999999997</v>
      </c>
      <c r="S183" s="63">
        <v>0</v>
      </c>
      <c r="T183" s="55">
        <v>0</v>
      </c>
      <c r="U183" s="63">
        <v>2193.0918619844101</v>
      </c>
      <c r="V183" s="63">
        <v>2193.0918619844101</v>
      </c>
      <c r="W183" s="59">
        <v>2022</v>
      </c>
      <c r="X183" s="6" t="e">
        <v>#REF!</v>
      </c>
      <c r="Z183" s="62">
        <f>SUM(AA183:AO183)</f>
        <v>18138776.330000002</v>
      </c>
      <c r="AA183" s="55">
        <v>0</v>
      </c>
      <c r="AB183" s="55">
        <v>0</v>
      </c>
      <c r="AC183" s="55">
        <v>0</v>
      </c>
      <c r="AD183" s="55">
        <v>0</v>
      </c>
      <c r="AE183" s="55">
        <v>0</v>
      </c>
      <c r="AF183" s="55"/>
      <c r="AG183" s="55">
        <v>0</v>
      </c>
      <c r="AH183" s="55">
        <v>0</v>
      </c>
      <c r="AI183" s="55">
        <v>15975545.8648842</v>
      </c>
      <c r="AJ183" s="55">
        <v>0</v>
      </c>
      <c r="AK183" s="55">
        <v>0</v>
      </c>
      <c r="AL183" s="55">
        <v>0</v>
      </c>
      <c r="AM183" s="55">
        <v>1632489.8696999999</v>
      </c>
      <c r="AN183" s="63">
        <v>181387.76329999999</v>
      </c>
      <c r="AO183" s="64">
        <v>349352.8321158</v>
      </c>
      <c r="AP183" s="61">
        <f>+N183-'Приложение №2'!E183</f>
        <v>0</v>
      </c>
      <c r="AQ183" s="1">
        <v>1300474.5900000001</v>
      </c>
      <c r="AR183" s="3">
        <f t="shared" si="54"/>
        <v>594276.48</v>
      </c>
      <c r="AT183" s="6"/>
      <c r="AW183" s="62">
        <f t="shared" si="56"/>
        <v>9802331.1099999994</v>
      </c>
      <c r="AX183" s="55">
        <v>0</v>
      </c>
      <c r="AY183" s="55">
        <v>0</v>
      </c>
      <c r="AZ183" s="55">
        <v>0</v>
      </c>
      <c r="BA183" s="55">
        <v>0</v>
      </c>
      <c r="BB183" s="55">
        <v>0</v>
      </c>
      <c r="BC183" s="55"/>
      <c r="BD183" s="55"/>
      <c r="BE183" s="55">
        <v>0</v>
      </c>
      <c r="BF183" s="55">
        <v>9802331.1099999994</v>
      </c>
      <c r="BG183" s="55">
        <v>0</v>
      </c>
      <c r="BH183" s="55">
        <v>0</v>
      </c>
      <c r="BI183" s="55">
        <v>0</v>
      </c>
      <c r="BJ183" s="55"/>
      <c r="BK183" s="63"/>
      <c r="BL183" s="64"/>
      <c r="BM183" s="8">
        <f t="shared" si="57"/>
        <v>9802331.1099999994</v>
      </c>
      <c r="BN183" s="55">
        <v>0</v>
      </c>
      <c r="BO183" s="55">
        <v>0</v>
      </c>
      <c r="BP183" s="71">
        <v>0</v>
      </c>
      <c r="BQ183" s="55">
        <v>0</v>
      </c>
      <c r="BR183" s="55">
        <v>0</v>
      </c>
      <c r="BS183" s="55"/>
      <c r="BT183" s="55"/>
      <c r="BU183" s="55">
        <v>0</v>
      </c>
      <c r="BV183" s="55">
        <v>9802331.1099999994</v>
      </c>
      <c r="BW183" s="55">
        <v>0</v>
      </c>
      <c r="BX183" s="55">
        <v>0</v>
      </c>
      <c r="BY183" s="55">
        <v>0</v>
      </c>
      <c r="BZ183" s="55"/>
      <c r="CA183" s="63"/>
      <c r="CB183" s="64"/>
    </row>
    <row r="184" spans="1:80" s="69" customFormat="1" x14ac:dyDescent="0.25">
      <c r="A184" s="52">
        <f t="shared" si="58"/>
        <v>167</v>
      </c>
      <c r="B184" s="53">
        <f t="shared" si="59"/>
        <v>167</v>
      </c>
      <c r="C184" s="53" t="s">
        <v>260</v>
      </c>
      <c r="D184" s="53" t="s">
        <v>269</v>
      </c>
      <c r="E184" s="54" t="s">
        <v>270</v>
      </c>
      <c r="F184" s="54"/>
      <c r="G184" s="54" t="s">
        <v>64</v>
      </c>
      <c r="H184" s="54" t="s">
        <v>101</v>
      </c>
      <c r="I184" s="54" t="s">
        <v>185</v>
      </c>
      <c r="J184" s="55">
        <v>8240.9</v>
      </c>
      <c r="K184" s="55">
        <v>5786.7</v>
      </c>
      <c r="L184" s="55">
        <v>2454.1999999999998</v>
      </c>
      <c r="M184" s="56">
        <v>268</v>
      </c>
      <c r="N184" s="62">
        <v>16952691.300000001</v>
      </c>
      <c r="O184" s="55">
        <v>0</v>
      </c>
      <c r="P184" s="63">
        <v>14417927.800000001</v>
      </c>
      <c r="Q184" s="63">
        <v>0</v>
      </c>
      <c r="R184" s="63">
        <v>2534763.5</v>
      </c>
      <c r="S184" s="63">
        <v>0</v>
      </c>
      <c r="T184" s="55">
        <v>0</v>
      </c>
      <c r="U184" s="63">
        <v>4392.93</v>
      </c>
      <c r="V184" s="63">
        <v>4392.93</v>
      </c>
      <c r="W184" s="59">
        <v>2022</v>
      </c>
      <c r="X184" s="69">
        <v>1929907.35</v>
      </c>
      <c r="Y184" s="69">
        <f>+(K184*9.1+L184*18.19)*12</f>
        <v>1167610.4159999997</v>
      </c>
      <c r="AA184" s="70" t="e">
        <v>#REF!</v>
      </c>
      <c r="AD184" s="70" t="e">
        <v>#REF!</v>
      </c>
      <c r="AP184" s="61" t="s">
        <v>264</v>
      </c>
      <c r="AQ184" s="69">
        <v>2221538.7000000002</v>
      </c>
      <c r="AR184" s="3">
        <f t="shared" si="54"/>
        <v>1090900.2</v>
      </c>
      <c r="AS184" s="3"/>
      <c r="AT184" s="6"/>
      <c r="AW184" s="62">
        <f t="shared" si="56"/>
        <v>16952691.299999997</v>
      </c>
      <c r="AX184" s="55">
        <v>7939864.5</v>
      </c>
      <c r="AY184" s="55"/>
      <c r="AZ184" s="55">
        <v>4681160.4000000004</v>
      </c>
      <c r="BA184" s="55">
        <v>3537004.8</v>
      </c>
      <c r="BB184" s="55"/>
      <c r="BC184" s="55"/>
      <c r="BD184" s="55"/>
      <c r="BE184" s="55"/>
      <c r="BF184" s="55"/>
      <c r="BG184" s="55"/>
      <c r="BH184" s="55"/>
      <c r="BI184" s="55"/>
      <c r="BJ184" s="55">
        <v>634398.13</v>
      </c>
      <c r="BK184" s="63">
        <v>24000</v>
      </c>
      <c r="BL184" s="64">
        <v>136263.47</v>
      </c>
      <c r="BM184" s="8">
        <f t="shared" si="57"/>
        <v>16952691.299999997</v>
      </c>
      <c r="BN184" s="55">
        <v>7939864.5</v>
      </c>
      <c r="BO184" s="55"/>
      <c r="BP184" s="71">
        <v>4681160.4000000004</v>
      </c>
      <c r="BQ184" s="55">
        <v>3537004.8</v>
      </c>
      <c r="BR184" s="55"/>
      <c r="BS184" s="55"/>
      <c r="BT184" s="55"/>
      <c r="BU184" s="55"/>
      <c r="BV184" s="55"/>
      <c r="BW184" s="55"/>
      <c r="BX184" s="55"/>
      <c r="BY184" s="55"/>
      <c r="BZ184" s="55">
        <v>634398.13</v>
      </c>
      <c r="CA184" s="63">
        <v>24000</v>
      </c>
      <c r="CB184" s="64">
        <v>136263.47</v>
      </c>
    </row>
    <row r="185" spans="1:80" s="69" customFormat="1" x14ac:dyDescent="0.25">
      <c r="A185" s="52">
        <f t="shared" si="58"/>
        <v>168</v>
      </c>
      <c r="B185" s="53">
        <f t="shared" si="59"/>
        <v>168</v>
      </c>
      <c r="C185" s="53" t="s">
        <v>260</v>
      </c>
      <c r="D185" s="53" t="s">
        <v>271</v>
      </c>
      <c r="E185" s="54" t="s">
        <v>263</v>
      </c>
      <c r="F185" s="54"/>
      <c r="G185" s="54" t="s">
        <v>64</v>
      </c>
      <c r="H185" s="54" t="s">
        <v>101</v>
      </c>
      <c r="I185" s="54" t="s">
        <v>145</v>
      </c>
      <c r="J185" s="55">
        <v>3960.6</v>
      </c>
      <c r="K185" s="55">
        <v>2780.6</v>
      </c>
      <c r="L185" s="55">
        <v>1180</v>
      </c>
      <c r="M185" s="56">
        <v>132</v>
      </c>
      <c r="N185" s="62">
        <v>11455370.01</v>
      </c>
      <c r="O185" s="55">
        <v>0</v>
      </c>
      <c r="P185" s="63">
        <v>10200845.67</v>
      </c>
      <c r="Q185" s="63">
        <v>0</v>
      </c>
      <c r="R185" s="63">
        <v>1254524.3400000001</v>
      </c>
      <c r="S185" s="63"/>
      <c r="T185" s="55">
        <v>0</v>
      </c>
      <c r="U185" s="63">
        <v>4392.93</v>
      </c>
      <c r="V185" s="63">
        <v>4392.93</v>
      </c>
      <c r="W185" s="59">
        <v>2022</v>
      </c>
      <c r="X185" s="69">
        <v>1020826.36</v>
      </c>
      <c r="Y185" s="69">
        <f>+(K185*9.1+L185*18.19)*12</f>
        <v>561211.92000000004</v>
      </c>
      <c r="AA185" s="70" t="e">
        <v>#REF!</v>
      </c>
      <c r="AD185" s="70" t="e">
        <v>#REF!</v>
      </c>
      <c r="AP185" s="61" t="s">
        <v>264</v>
      </c>
      <c r="AQ185" s="69">
        <v>1131381.5</v>
      </c>
      <c r="AR185" s="3">
        <f t="shared" si="54"/>
        <v>524341.19999999995</v>
      </c>
      <c r="AS185" s="3"/>
      <c r="AT185" s="6"/>
      <c r="AW185" s="62">
        <f t="shared" si="56"/>
        <v>11455370.009999998</v>
      </c>
      <c r="AX185" s="55">
        <v>5903245.2000000002</v>
      </c>
      <c r="AY185" s="55"/>
      <c r="AZ185" s="55">
        <v>3002210.4</v>
      </c>
      <c r="BA185" s="55">
        <v>1923324</v>
      </c>
      <c r="BB185" s="55"/>
      <c r="BC185" s="55"/>
      <c r="BD185" s="55"/>
      <c r="BE185" s="55"/>
      <c r="BF185" s="55"/>
      <c r="BG185" s="55"/>
      <c r="BH185" s="55"/>
      <c r="BI185" s="55"/>
      <c r="BJ185" s="55">
        <v>516618.54</v>
      </c>
      <c r="BK185" s="63">
        <v>24000</v>
      </c>
      <c r="BL185" s="64">
        <v>85971.87</v>
      </c>
      <c r="BM185" s="8">
        <f t="shared" si="57"/>
        <v>11455370.009999998</v>
      </c>
      <c r="BN185" s="55">
        <v>5903245.2000000002</v>
      </c>
      <c r="BO185" s="55"/>
      <c r="BP185" s="71">
        <v>3002210.4</v>
      </c>
      <c r="BQ185" s="55">
        <v>1923324</v>
      </c>
      <c r="BR185" s="55"/>
      <c r="BS185" s="55"/>
      <c r="BT185" s="55"/>
      <c r="BU185" s="55"/>
      <c r="BV185" s="55"/>
      <c r="BW185" s="55"/>
      <c r="BX185" s="55"/>
      <c r="BY185" s="55"/>
      <c r="BZ185" s="55">
        <v>516618.54</v>
      </c>
      <c r="CA185" s="63">
        <v>24000</v>
      </c>
      <c r="CB185" s="64">
        <v>85971.87</v>
      </c>
    </row>
    <row r="186" spans="1:80" s="69" customFormat="1" x14ac:dyDescent="0.25">
      <c r="A186" s="52">
        <f t="shared" si="58"/>
        <v>169</v>
      </c>
      <c r="B186" s="53">
        <f t="shared" si="59"/>
        <v>169</v>
      </c>
      <c r="C186" s="53" t="s">
        <v>260</v>
      </c>
      <c r="D186" s="53" t="s">
        <v>272</v>
      </c>
      <c r="E186" s="54" t="s">
        <v>270</v>
      </c>
      <c r="F186" s="54"/>
      <c r="G186" s="54" t="s">
        <v>64</v>
      </c>
      <c r="H186" s="54" t="s">
        <v>101</v>
      </c>
      <c r="I186" s="54" t="s">
        <v>185</v>
      </c>
      <c r="J186" s="55">
        <v>8244.17</v>
      </c>
      <c r="K186" s="55">
        <v>5789.27</v>
      </c>
      <c r="L186" s="55">
        <v>2454.9</v>
      </c>
      <c r="M186" s="56">
        <v>264</v>
      </c>
      <c r="N186" s="62">
        <v>21555121.629999999</v>
      </c>
      <c r="O186" s="55">
        <v>0</v>
      </c>
      <c r="P186" s="63">
        <v>18789721.559999999</v>
      </c>
      <c r="Q186" s="63">
        <v>0</v>
      </c>
      <c r="R186" s="63">
        <v>2765400.07</v>
      </c>
      <c r="S186" s="63"/>
      <c r="T186" s="55">
        <v>0</v>
      </c>
      <c r="U186" s="63">
        <v>4392.93</v>
      </c>
      <c r="V186" s="63">
        <v>4392.93</v>
      </c>
      <c r="W186" s="59">
        <v>2022</v>
      </c>
      <c r="X186" s="69">
        <v>1958964.9</v>
      </c>
      <c r="Y186" s="69">
        <f>+(K186*9.1+L186*18.19)*12</f>
        <v>1168043.8560000001</v>
      </c>
      <c r="AA186" s="70" t="e">
        <v>#REF!</v>
      </c>
      <c r="AD186" s="70" t="e">
        <v>#REF!</v>
      </c>
      <c r="AP186" s="61" t="s">
        <v>264</v>
      </c>
      <c r="AQ186" s="69">
        <v>2343373.81</v>
      </c>
      <c r="AR186" s="3">
        <f t="shared" si="54"/>
        <v>1091305.1400000001</v>
      </c>
      <c r="AS186" s="3"/>
      <c r="AT186" s="6"/>
      <c r="AW186" s="62">
        <f t="shared" si="56"/>
        <v>21555121.629999999</v>
      </c>
      <c r="AX186" s="55">
        <v>11356723.199999999</v>
      </c>
      <c r="AY186" s="55"/>
      <c r="AZ186" s="55">
        <v>5611190.4000000004</v>
      </c>
      <c r="BA186" s="55">
        <v>3761995.2</v>
      </c>
      <c r="BB186" s="55"/>
      <c r="BC186" s="55"/>
      <c r="BD186" s="55"/>
      <c r="BE186" s="55"/>
      <c r="BF186" s="55"/>
      <c r="BG186" s="55"/>
      <c r="BH186" s="55"/>
      <c r="BI186" s="55"/>
      <c r="BJ186" s="55">
        <v>634436.54</v>
      </c>
      <c r="BK186" s="63">
        <v>24000</v>
      </c>
      <c r="BL186" s="64">
        <v>166776.29</v>
      </c>
      <c r="BM186" s="8">
        <f t="shared" si="57"/>
        <v>21555121.629999999</v>
      </c>
      <c r="BN186" s="55">
        <v>11356723.199999999</v>
      </c>
      <c r="BO186" s="55"/>
      <c r="BP186" s="71">
        <v>5611190.4000000004</v>
      </c>
      <c r="BQ186" s="55">
        <v>3761995.2</v>
      </c>
      <c r="BR186" s="55"/>
      <c r="BS186" s="55"/>
      <c r="BT186" s="55"/>
      <c r="BU186" s="55"/>
      <c r="BV186" s="55"/>
      <c r="BW186" s="55"/>
      <c r="BX186" s="55"/>
      <c r="BY186" s="55"/>
      <c r="BZ186" s="55">
        <v>634436.54</v>
      </c>
      <c r="CA186" s="63">
        <v>24000</v>
      </c>
      <c r="CB186" s="64">
        <v>166776.29</v>
      </c>
    </row>
    <row r="187" spans="1:80" s="69" customFormat="1" x14ac:dyDescent="0.25">
      <c r="A187" s="52">
        <f t="shared" si="58"/>
        <v>170</v>
      </c>
      <c r="B187" s="53">
        <f t="shared" si="59"/>
        <v>170</v>
      </c>
      <c r="C187" s="53" t="s">
        <v>260</v>
      </c>
      <c r="D187" s="53" t="s">
        <v>273</v>
      </c>
      <c r="E187" s="54" t="s">
        <v>263</v>
      </c>
      <c r="F187" s="54"/>
      <c r="G187" s="54" t="s">
        <v>64</v>
      </c>
      <c r="H187" s="54" t="s">
        <v>101</v>
      </c>
      <c r="I187" s="54" t="s">
        <v>185</v>
      </c>
      <c r="J187" s="55">
        <v>8245.7000000000007</v>
      </c>
      <c r="K187" s="55">
        <v>5795.3</v>
      </c>
      <c r="L187" s="55">
        <v>2450.4</v>
      </c>
      <c r="M187" s="56">
        <v>271</v>
      </c>
      <c r="N187" s="62">
        <v>21555080.010000002</v>
      </c>
      <c r="O187" s="55">
        <v>0</v>
      </c>
      <c r="P187" s="63">
        <v>18913345.629999999</v>
      </c>
      <c r="Q187" s="63">
        <v>0</v>
      </c>
      <c r="R187" s="63">
        <v>2641734.38</v>
      </c>
      <c r="S187" s="63"/>
      <c r="T187" s="55">
        <v>0</v>
      </c>
      <c r="U187" s="63">
        <v>4392.93</v>
      </c>
      <c r="V187" s="63">
        <v>4392.93</v>
      </c>
      <c r="W187" s="59">
        <v>2022</v>
      </c>
      <c r="X187" s="69">
        <v>1989915.91</v>
      </c>
      <c r="Y187" s="69">
        <f>+(K187*9.1+L187*18.19)*12</f>
        <v>1167720.0720000002</v>
      </c>
      <c r="AA187" s="70" t="e">
        <v>#REF!</v>
      </c>
      <c r="AD187" s="70" t="e">
        <v>#REF!</v>
      </c>
      <c r="AP187" s="61" t="s">
        <v>264</v>
      </c>
      <c r="AQ187" s="69">
        <v>2258124.61</v>
      </c>
      <c r="AR187" s="3">
        <f t="shared" si="54"/>
        <v>1091002.2</v>
      </c>
      <c r="AS187" s="3"/>
      <c r="AT187" s="6"/>
      <c r="AW187" s="62">
        <f t="shared" si="56"/>
        <v>21555080.010000002</v>
      </c>
      <c r="AX187" s="55">
        <v>11356723.199999999</v>
      </c>
      <c r="AY187" s="55"/>
      <c r="AZ187" s="55">
        <v>5611190.4000000004</v>
      </c>
      <c r="BA187" s="55">
        <v>3761995.2</v>
      </c>
      <c r="BB187" s="55"/>
      <c r="BC187" s="55"/>
      <c r="BD187" s="55"/>
      <c r="BE187" s="55"/>
      <c r="BF187" s="55"/>
      <c r="BG187" s="55"/>
      <c r="BH187" s="55"/>
      <c r="BI187" s="55"/>
      <c r="BJ187" s="55">
        <v>634394.92000000004</v>
      </c>
      <c r="BK187" s="63">
        <v>24000</v>
      </c>
      <c r="BL187" s="64">
        <v>166776.29</v>
      </c>
      <c r="BM187" s="8">
        <f t="shared" si="57"/>
        <v>21555080.010000002</v>
      </c>
      <c r="BN187" s="55">
        <v>11356723.199999999</v>
      </c>
      <c r="BO187" s="55"/>
      <c r="BP187" s="71">
        <v>5611190.4000000004</v>
      </c>
      <c r="BQ187" s="55">
        <v>3761995.2</v>
      </c>
      <c r="BR187" s="55"/>
      <c r="BS187" s="55"/>
      <c r="BT187" s="55"/>
      <c r="BU187" s="55"/>
      <c r="BV187" s="55"/>
      <c r="BW187" s="55"/>
      <c r="BX187" s="55"/>
      <c r="BY187" s="55"/>
      <c r="BZ187" s="55">
        <v>634394.92000000004</v>
      </c>
      <c r="CA187" s="63">
        <v>24000</v>
      </c>
      <c r="CB187" s="64">
        <v>166776.29</v>
      </c>
    </row>
    <row r="188" spans="1:80" x14ac:dyDescent="0.25">
      <c r="A188" s="52">
        <f t="shared" si="58"/>
        <v>171</v>
      </c>
      <c r="B188" s="53">
        <f t="shared" si="59"/>
        <v>171</v>
      </c>
      <c r="C188" s="53" t="s">
        <v>260</v>
      </c>
      <c r="D188" s="53" t="s">
        <v>274</v>
      </c>
      <c r="E188" s="54">
        <v>1989</v>
      </c>
      <c r="F188" s="54">
        <v>2011</v>
      </c>
      <c r="G188" s="54" t="s">
        <v>64</v>
      </c>
      <c r="H188" s="54">
        <v>5</v>
      </c>
      <c r="I188" s="54">
        <v>3</v>
      </c>
      <c r="J188" s="55">
        <v>4149.8500000000004</v>
      </c>
      <c r="K188" s="55">
        <v>2952.15</v>
      </c>
      <c r="L188" s="55">
        <v>1197.7</v>
      </c>
      <c r="M188" s="56">
        <v>135</v>
      </c>
      <c r="N188" s="62">
        <v>3798455.12</v>
      </c>
      <c r="O188" s="55"/>
      <c r="P188" s="63">
        <v>2786045.63</v>
      </c>
      <c r="Q188" s="63"/>
      <c r="R188" s="63">
        <v>1012409.49</v>
      </c>
      <c r="S188" s="63">
        <v>0</v>
      </c>
      <c r="T188" s="55">
        <v>0</v>
      </c>
      <c r="U188" s="63">
        <v>915.32347434244605</v>
      </c>
      <c r="V188" s="63">
        <v>915.32347434244605</v>
      </c>
      <c r="W188" s="59">
        <v>2022</v>
      </c>
      <c r="X188" s="6" t="e">
        <v>#REF!</v>
      </c>
      <c r="Z188" s="62">
        <f t="shared" ref="Z188:Z203" si="60">SUM(AA188:AO188)</f>
        <v>9087777.0999999996</v>
      </c>
      <c r="AA188" s="55">
        <v>8092901.7897546003</v>
      </c>
      <c r="AB188" s="55">
        <v>0</v>
      </c>
      <c r="AC188" s="55">
        <v>0</v>
      </c>
      <c r="AD188" s="55">
        <v>0</v>
      </c>
      <c r="AE188" s="55">
        <v>0</v>
      </c>
      <c r="AF188" s="55"/>
      <c r="AG188" s="55">
        <v>0</v>
      </c>
      <c r="AH188" s="55">
        <v>0</v>
      </c>
      <c r="AI188" s="55">
        <v>0</v>
      </c>
      <c r="AJ188" s="55">
        <v>0</v>
      </c>
      <c r="AK188" s="55">
        <v>0</v>
      </c>
      <c r="AL188" s="55">
        <v>0</v>
      </c>
      <c r="AM188" s="55">
        <v>727022.16799999995</v>
      </c>
      <c r="AN188" s="63">
        <v>90877.770999999993</v>
      </c>
      <c r="AO188" s="64">
        <v>176975.37124539999</v>
      </c>
      <c r="AP188" s="61">
        <f>+N188-'Приложение №2'!E188</f>
        <v>0</v>
      </c>
      <c r="AQ188" s="1">
        <v>1238172.51</v>
      </c>
      <c r="AR188" s="3">
        <f t="shared" si="54"/>
        <v>545450.1</v>
      </c>
      <c r="AT188" s="6"/>
      <c r="AW188" s="62">
        <f t="shared" si="56"/>
        <v>3798455.12</v>
      </c>
      <c r="AX188" s="55">
        <v>3733979.02</v>
      </c>
      <c r="AY188" s="55">
        <v>0</v>
      </c>
      <c r="AZ188" s="55">
        <v>0</v>
      </c>
      <c r="BA188" s="55">
        <v>0</v>
      </c>
      <c r="BB188" s="55">
        <v>0</v>
      </c>
      <c r="BC188" s="55"/>
      <c r="BD188" s="55"/>
      <c r="BE188" s="55">
        <v>0</v>
      </c>
      <c r="BF188" s="55">
        <v>0</v>
      </c>
      <c r="BG188" s="55">
        <v>0</v>
      </c>
      <c r="BH188" s="55">
        <v>0</v>
      </c>
      <c r="BI188" s="55">
        <v>0</v>
      </c>
      <c r="BJ188" s="55"/>
      <c r="BK188" s="63"/>
      <c r="BL188" s="64">
        <v>64476.1</v>
      </c>
      <c r="BM188" s="8">
        <f t="shared" si="57"/>
        <v>3798455.12</v>
      </c>
      <c r="BN188" s="55">
        <v>3733979.02</v>
      </c>
      <c r="BO188" s="55">
        <v>0</v>
      </c>
      <c r="BP188" s="71">
        <v>0</v>
      </c>
      <c r="BQ188" s="55">
        <v>0</v>
      </c>
      <c r="BR188" s="55">
        <v>0</v>
      </c>
      <c r="BS188" s="55"/>
      <c r="BT188" s="55"/>
      <c r="BU188" s="55">
        <v>0</v>
      </c>
      <c r="BV188" s="55">
        <v>0</v>
      </c>
      <c r="BW188" s="55">
        <v>0</v>
      </c>
      <c r="BX188" s="55">
        <v>0</v>
      </c>
      <c r="BY188" s="55">
        <v>0</v>
      </c>
      <c r="BZ188" s="55"/>
      <c r="CA188" s="63"/>
      <c r="CB188" s="64">
        <v>64476.1</v>
      </c>
    </row>
    <row r="189" spans="1:80" x14ac:dyDescent="0.25">
      <c r="A189" s="52">
        <f t="shared" si="58"/>
        <v>172</v>
      </c>
      <c r="B189" s="53">
        <f t="shared" si="59"/>
        <v>172</v>
      </c>
      <c r="C189" s="53" t="s">
        <v>260</v>
      </c>
      <c r="D189" s="53" t="s">
        <v>275</v>
      </c>
      <c r="E189" s="54">
        <v>1986</v>
      </c>
      <c r="F189" s="54">
        <v>2011</v>
      </c>
      <c r="G189" s="54" t="s">
        <v>64</v>
      </c>
      <c r="H189" s="54">
        <v>4</v>
      </c>
      <c r="I189" s="54">
        <v>2</v>
      </c>
      <c r="J189" s="55">
        <v>2202.6</v>
      </c>
      <c r="K189" s="55">
        <v>1541.4</v>
      </c>
      <c r="L189" s="55">
        <v>661.2</v>
      </c>
      <c r="M189" s="56">
        <v>88</v>
      </c>
      <c r="N189" s="62">
        <v>5080860.6100000003</v>
      </c>
      <c r="O189" s="55"/>
      <c r="P189" s="63">
        <v>4921136.82</v>
      </c>
      <c r="Q189" s="63"/>
      <c r="R189" s="63">
        <v>159723.79</v>
      </c>
      <c r="S189" s="63">
        <v>0</v>
      </c>
      <c r="T189" s="55">
        <v>0</v>
      </c>
      <c r="U189" s="63">
        <v>2306.7559293562199</v>
      </c>
      <c r="V189" s="63">
        <v>2306.7559293562199</v>
      </c>
      <c r="W189" s="59">
        <v>2022</v>
      </c>
      <c r="X189" s="6" t="e">
        <v>#REF!</v>
      </c>
      <c r="Z189" s="62">
        <f t="shared" si="60"/>
        <v>8976789.9100000001</v>
      </c>
      <c r="AA189" s="55">
        <v>0</v>
      </c>
      <c r="AB189" s="55">
        <v>0</v>
      </c>
      <c r="AC189" s="55">
        <v>0</v>
      </c>
      <c r="AD189" s="55">
        <v>0</v>
      </c>
      <c r="AE189" s="55">
        <v>0</v>
      </c>
      <c r="AF189" s="55"/>
      <c r="AG189" s="55">
        <v>0</v>
      </c>
      <c r="AH189" s="55">
        <v>0</v>
      </c>
      <c r="AI189" s="55">
        <v>7906217.9453333998</v>
      </c>
      <c r="AJ189" s="55">
        <v>0</v>
      </c>
      <c r="AK189" s="55">
        <v>0</v>
      </c>
      <c r="AL189" s="55">
        <v>0</v>
      </c>
      <c r="AM189" s="55">
        <v>807911.0919</v>
      </c>
      <c r="AN189" s="63">
        <v>89767.899099999995</v>
      </c>
      <c r="AO189" s="64">
        <v>172892.97366660001</v>
      </c>
      <c r="AP189" s="61">
        <f>+N189-'Приложение №2'!E189</f>
        <v>0</v>
      </c>
      <c r="AQ189" s="1">
        <v>658488.62</v>
      </c>
      <c r="AR189" s="3">
        <f t="shared" si="54"/>
        <v>292107.59999999998</v>
      </c>
      <c r="AT189" s="6"/>
      <c r="AW189" s="62">
        <f t="shared" si="56"/>
        <v>5080860.6100000003</v>
      </c>
      <c r="AX189" s="55">
        <v>0</v>
      </c>
      <c r="AY189" s="55">
        <v>0</v>
      </c>
      <c r="AZ189" s="55">
        <v>0</v>
      </c>
      <c r="BA189" s="55">
        <v>0</v>
      </c>
      <c r="BB189" s="55">
        <v>0</v>
      </c>
      <c r="BC189" s="55"/>
      <c r="BD189" s="55"/>
      <c r="BE189" s="55">
        <v>0</v>
      </c>
      <c r="BF189" s="55">
        <v>5044368.49</v>
      </c>
      <c r="BG189" s="55">
        <v>0</v>
      </c>
      <c r="BH189" s="55">
        <v>0</v>
      </c>
      <c r="BI189" s="55">
        <v>0</v>
      </c>
      <c r="BJ189" s="55"/>
      <c r="BK189" s="63"/>
      <c r="BL189" s="64">
        <v>36492.120000000003</v>
      </c>
      <c r="BM189" s="8">
        <f t="shared" si="57"/>
        <v>5080860.6100000003</v>
      </c>
      <c r="BN189" s="55">
        <v>0</v>
      </c>
      <c r="BO189" s="55">
        <v>0</v>
      </c>
      <c r="BP189" s="71">
        <v>0</v>
      </c>
      <c r="BQ189" s="55">
        <v>0</v>
      </c>
      <c r="BR189" s="55">
        <v>0</v>
      </c>
      <c r="BS189" s="55"/>
      <c r="BT189" s="55"/>
      <c r="BU189" s="55">
        <v>0</v>
      </c>
      <c r="BV189" s="55">
        <v>5044368.49</v>
      </c>
      <c r="BW189" s="55">
        <v>0</v>
      </c>
      <c r="BX189" s="55">
        <v>0</v>
      </c>
      <c r="BY189" s="55">
        <v>0</v>
      </c>
      <c r="BZ189" s="55"/>
      <c r="CA189" s="63"/>
      <c r="CB189" s="64">
        <v>36492.120000000003</v>
      </c>
    </row>
    <row r="190" spans="1:80" x14ac:dyDescent="0.25">
      <c r="A190" s="52">
        <f t="shared" si="58"/>
        <v>173</v>
      </c>
      <c r="B190" s="53">
        <f t="shared" si="59"/>
        <v>173</v>
      </c>
      <c r="C190" s="53" t="s">
        <v>276</v>
      </c>
      <c r="D190" s="53" t="s">
        <v>277</v>
      </c>
      <c r="E190" s="54">
        <v>1975</v>
      </c>
      <c r="F190" s="54">
        <v>2010</v>
      </c>
      <c r="G190" s="54" t="s">
        <v>64</v>
      </c>
      <c r="H190" s="54">
        <v>4</v>
      </c>
      <c r="I190" s="54">
        <v>3</v>
      </c>
      <c r="J190" s="55">
        <v>2207.3000000000002</v>
      </c>
      <c r="K190" s="55">
        <v>1539.8</v>
      </c>
      <c r="L190" s="55">
        <v>72.900000000000006</v>
      </c>
      <c r="M190" s="56">
        <v>60</v>
      </c>
      <c r="N190" s="62">
        <v>8755162.1893241201</v>
      </c>
      <c r="O190" s="55"/>
      <c r="P190" s="63">
        <v>305015.03999999998</v>
      </c>
      <c r="Q190" s="63"/>
      <c r="R190" s="63">
        <v>1072056.31</v>
      </c>
      <c r="S190" s="63">
        <v>7378090.8393241204</v>
      </c>
      <c r="T190" s="55">
        <v>0</v>
      </c>
      <c r="U190" s="63">
        <v>5428.8845968401602</v>
      </c>
      <c r="V190" s="63">
        <v>5428.8845968401602</v>
      </c>
      <c r="W190" s="59">
        <v>2022</v>
      </c>
      <c r="X190" s="6" t="e">
        <v>#REF!</v>
      </c>
      <c r="Z190" s="62">
        <f t="shared" si="60"/>
        <v>12862454.159999998</v>
      </c>
      <c r="AA190" s="55">
        <v>0</v>
      </c>
      <c r="AB190" s="55">
        <v>0</v>
      </c>
      <c r="AC190" s="55">
        <v>1651099.99309374</v>
      </c>
      <c r="AD190" s="55">
        <v>0</v>
      </c>
      <c r="AE190" s="55">
        <v>658775.13073595997</v>
      </c>
      <c r="AF190" s="55"/>
      <c r="AG190" s="55">
        <v>0</v>
      </c>
      <c r="AH190" s="55">
        <v>0</v>
      </c>
      <c r="AI190" s="55">
        <v>0</v>
      </c>
      <c r="AJ190" s="55">
        <v>0</v>
      </c>
      <c r="AK190" s="55">
        <v>4282271.2316294396</v>
      </c>
      <c r="AL190" s="55">
        <v>4419510.2317527002</v>
      </c>
      <c r="AM190" s="55">
        <v>1481370.4040000001</v>
      </c>
      <c r="AN190" s="63">
        <v>128624.5416</v>
      </c>
      <c r="AO190" s="64">
        <v>240802.62718816</v>
      </c>
      <c r="AP190" s="61">
        <f>+N190-'Приложение №2'!E190</f>
        <v>0</v>
      </c>
      <c r="AQ190" s="1">
        <v>817698.89</v>
      </c>
      <c r="AR190" s="3">
        <f t="shared" si="54"/>
        <v>171931.19999999998</v>
      </c>
      <c r="AS190" s="3">
        <f>+(K190*10+L190*20)*12*30</f>
        <v>6068160</v>
      </c>
      <c r="AT190" s="6">
        <f t="shared" ref="AT190:AT205" si="61">+S190-AS190</f>
        <v>1309930.8393241204</v>
      </c>
      <c r="AW190" s="62">
        <f t="shared" si="56"/>
        <v>8755162.1893241201</v>
      </c>
      <c r="AX190" s="55">
        <v>0</v>
      </c>
      <c r="AY190" s="55">
        <v>0</v>
      </c>
      <c r="AZ190" s="55">
        <v>1011024.23</v>
      </c>
      <c r="BA190" s="55">
        <v>0</v>
      </c>
      <c r="BB190" s="55"/>
      <c r="BC190" s="55"/>
      <c r="BD190" s="55"/>
      <c r="BE190" s="55">
        <v>0</v>
      </c>
      <c r="BF190" s="55">
        <v>0</v>
      </c>
      <c r="BG190" s="55">
        <v>0</v>
      </c>
      <c r="BH190" s="55">
        <v>4376437.43</v>
      </c>
      <c r="BI190" s="55">
        <v>3141303.98</v>
      </c>
      <c r="BJ190" s="55"/>
      <c r="BK190" s="63"/>
      <c r="BL190" s="64">
        <v>226396.54932411999</v>
      </c>
      <c r="BM190" s="8">
        <f t="shared" si="57"/>
        <v>8755162.1893241201</v>
      </c>
      <c r="BN190" s="55">
        <v>0</v>
      </c>
      <c r="BO190" s="55">
        <v>0</v>
      </c>
      <c r="BP190" s="71">
        <v>1011024.23</v>
      </c>
      <c r="BQ190" s="55">
        <v>0</v>
      </c>
      <c r="BR190" s="55"/>
      <c r="BS190" s="55"/>
      <c r="BT190" s="55"/>
      <c r="BU190" s="55">
        <v>0</v>
      </c>
      <c r="BV190" s="55">
        <v>0</v>
      </c>
      <c r="BW190" s="55">
        <v>0</v>
      </c>
      <c r="BX190" s="55">
        <v>4376437.43</v>
      </c>
      <c r="BY190" s="55">
        <v>3141303.98</v>
      </c>
      <c r="BZ190" s="55"/>
      <c r="CA190" s="63"/>
      <c r="CB190" s="64">
        <v>226396.54932411999</v>
      </c>
    </row>
    <row r="191" spans="1:80" x14ac:dyDescent="0.25">
      <c r="A191" s="52">
        <f t="shared" si="58"/>
        <v>174</v>
      </c>
      <c r="B191" s="53">
        <f t="shared" si="59"/>
        <v>174</v>
      </c>
      <c r="C191" s="53" t="s">
        <v>276</v>
      </c>
      <c r="D191" s="53" t="s">
        <v>278</v>
      </c>
      <c r="E191" s="54">
        <v>1968</v>
      </c>
      <c r="F191" s="54">
        <v>2010</v>
      </c>
      <c r="G191" s="54" t="s">
        <v>64</v>
      </c>
      <c r="H191" s="54">
        <v>2</v>
      </c>
      <c r="I191" s="54">
        <v>1</v>
      </c>
      <c r="J191" s="55">
        <v>395.2</v>
      </c>
      <c r="K191" s="55">
        <v>370.7</v>
      </c>
      <c r="L191" s="55">
        <v>0</v>
      </c>
      <c r="M191" s="56">
        <v>21</v>
      </c>
      <c r="N191" s="62">
        <v>1521216.82339412</v>
      </c>
      <c r="O191" s="55"/>
      <c r="P191" s="63">
        <v>463367.23</v>
      </c>
      <c r="Q191" s="63"/>
      <c r="R191" s="63">
        <v>167186.07</v>
      </c>
      <c r="S191" s="63">
        <v>890663.52339412004</v>
      </c>
      <c r="T191" s="55">
        <v>0</v>
      </c>
      <c r="U191" s="63">
        <v>4103.6331896253596</v>
      </c>
      <c r="V191" s="63">
        <v>4103.6331896253596</v>
      </c>
      <c r="W191" s="59">
        <v>2022</v>
      </c>
      <c r="X191" s="6" t="e">
        <v>#REF!</v>
      </c>
      <c r="Z191" s="62">
        <f t="shared" si="60"/>
        <v>2665334.4899999998</v>
      </c>
      <c r="AA191" s="55">
        <v>0</v>
      </c>
      <c r="AB191" s="55">
        <v>0</v>
      </c>
      <c r="AC191" s="55">
        <v>0</v>
      </c>
      <c r="AD191" s="55">
        <v>0</v>
      </c>
      <c r="AE191" s="55">
        <v>0</v>
      </c>
      <c r="AF191" s="55"/>
      <c r="AG191" s="55">
        <v>0</v>
      </c>
      <c r="AH191" s="55">
        <v>0</v>
      </c>
      <c r="AI191" s="55">
        <v>0</v>
      </c>
      <c r="AJ191" s="55">
        <v>0</v>
      </c>
      <c r="AK191" s="55">
        <v>0</v>
      </c>
      <c r="AL191" s="55">
        <v>2321383.73540346</v>
      </c>
      <c r="AM191" s="55">
        <v>266533.44900000002</v>
      </c>
      <c r="AN191" s="63">
        <v>26653.3449</v>
      </c>
      <c r="AO191" s="64">
        <v>50763.960696540002</v>
      </c>
      <c r="AP191" s="61">
        <f>+N191-'Приложение №2'!E191</f>
        <v>0</v>
      </c>
      <c r="AQ191" s="1">
        <v>177132.32</v>
      </c>
      <c r="AR191" s="3">
        <f t="shared" si="54"/>
        <v>37811.4</v>
      </c>
      <c r="AS191" s="3">
        <f>+(K191*10+L191*20)*12*30</f>
        <v>1334520</v>
      </c>
      <c r="AT191" s="6">
        <f t="shared" si="61"/>
        <v>-443856.47660587996</v>
      </c>
      <c r="AW191" s="62">
        <f t="shared" si="56"/>
        <v>1521216.82339412</v>
      </c>
      <c r="AX191" s="55">
        <v>0</v>
      </c>
      <c r="AY191" s="55">
        <v>0</v>
      </c>
      <c r="AZ191" s="55">
        <v>256799.44</v>
      </c>
      <c r="BA191" s="55">
        <v>0</v>
      </c>
      <c r="BB191" s="55">
        <v>0</v>
      </c>
      <c r="BC191" s="55"/>
      <c r="BD191" s="55"/>
      <c r="BE191" s="55">
        <v>0</v>
      </c>
      <c r="BF191" s="55">
        <v>0</v>
      </c>
      <c r="BG191" s="55">
        <v>0</v>
      </c>
      <c r="BH191" s="55">
        <v>0</v>
      </c>
      <c r="BI191" s="55">
        <v>1206681.83</v>
      </c>
      <c r="BJ191" s="55"/>
      <c r="BK191" s="63"/>
      <c r="BL191" s="64">
        <v>57735.553394119997</v>
      </c>
      <c r="BM191" s="8">
        <f t="shared" si="57"/>
        <v>1521216.82339412</v>
      </c>
      <c r="BN191" s="55">
        <v>0</v>
      </c>
      <c r="BO191" s="55">
        <v>0</v>
      </c>
      <c r="BP191" s="71">
        <v>256799.44</v>
      </c>
      <c r="BQ191" s="55">
        <v>0</v>
      </c>
      <c r="BR191" s="55">
        <v>0</v>
      </c>
      <c r="BS191" s="55"/>
      <c r="BT191" s="55"/>
      <c r="BU191" s="55">
        <v>0</v>
      </c>
      <c r="BV191" s="55">
        <v>0</v>
      </c>
      <c r="BW191" s="55">
        <v>0</v>
      </c>
      <c r="BX191" s="55">
        <v>0</v>
      </c>
      <c r="BY191" s="55">
        <v>1206681.83</v>
      </c>
      <c r="BZ191" s="55"/>
      <c r="CA191" s="63"/>
      <c r="CB191" s="64">
        <v>57735.553394119997</v>
      </c>
    </row>
    <row r="192" spans="1:80" x14ac:dyDescent="0.25">
      <c r="A192" s="52">
        <f t="shared" si="58"/>
        <v>175</v>
      </c>
      <c r="B192" s="53">
        <f t="shared" si="59"/>
        <v>175</v>
      </c>
      <c r="C192" s="53" t="s">
        <v>279</v>
      </c>
      <c r="D192" s="53" t="s">
        <v>280</v>
      </c>
      <c r="E192" s="54">
        <v>1987</v>
      </c>
      <c r="F192" s="54">
        <v>1987</v>
      </c>
      <c r="G192" s="54" t="s">
        <v>64</v>
      </c>
      <c r="H192" s="54">
        <v>2</v>
      </c>
      <c r="I192" s="54">
        <v>2</v>
      </c>
      <c r="J192" s="55">
        <v>910.2</v>
      </c>
      <c r="K192" s="55">
        <v>783.4</v>
      </c>
      <c r="L192" s="55">
        <v>0</v>
      </c>
      <c r="M192" s="56">
        <v>32</v>
      </c>
      <c r="N192" s="62">
        <v>764368.75019825995</v>
      </c>
      <c r="O192" s="55"/>
      <c r="P192" s="63"/>
      <c r="Q192" s="63"/>
      <c r="R192" s="63">
        <v>398689.43</v>
      </c>
      <c r="S192" s="63">
        <v>365679.32019826001</v>
      </c>
      <c r="T192" s="55">
        <v>0</v>
      </c>
      <c r="U192" s="63">
        <v>975.70685498884302</v>
      </c>
      <c r="V192" s="63">
        <v>975.70685498884302</v>
      </c>
      <c r="W192" s="59">
        <v>2022</v>
      </c>
      <c r="X192" s="6" t="e">
        <v>#REF!</v>
      </c>
      <c r="Z192" s="62">
        <f t="shared" si="60"/>
        <v>1452392.59</v>
      </c>
      <c r="AA192" s="55">
        <v>0</v>
      </c>
      <c r="AB192" s="55">
        <v>0</v>
      </c>
      <c r="AC192" s="55">
        <v>672323.62980174005</v>
      </c>
      <c r="AD192" s="55">
        <v>572666.75863487995</v>
      </c>
      <c r="AE192" s="55">
        <v>0</v>
      </c>
      <c r="AF192" s="55"/>
      <c r="AG192" s="55">
        <v>0</v>
      </c>
      <c r="AH192" s="55">
        <v>0</v>
      </c>
      <c r="AI192" s="55">
        <v>0</v>
      </c>
      <c r="AJ192" s="55">
        <v>0</v>
      </c>
      <c r="AK192" s="55">
        <v>0</v>
      </c>
      <c r="AL192" s="55">
        <v>0</v>
      </c>
      <c r="AM192" s="55">
        <v>165652.85740000001</v>
      </c>
      <c r="AN192" s="63">
        <v>14523.9259</v>
      </c>
      <c r="AO192" s="64">
        <v>27225.418263380001</v>
      </c>
      <c r="AP192" s="61">
        <f>+N192-'Приложение №2'!E192</f>
        <v>0</v>
      </c>
      <c r="AQ192" s="1">
        <v>318782.63</v>
      </c>
      <c r="AR192" s="3">
        <f t="shared" si="54"/>
        <v>79906.8</v>
      </c>
      <c r="AS192" s="3">
        <f>+(K192*10+L192*20)*12*30</f>
        <v>2820240</v>
      </c>
      <c r="AT192" s="6">
        <f t="shared" si="61"/>
        <v>-2454560.6798017398</v>
      </c>
      <c r="AW192" s="62">
        <f t="shared" si="56"/>
        <v>764368.75019825995</v>
      </c>
      <c r="AX192" s="55">
        <v>0</v>
      </c>
      <c r="AY192" s="55">
        <v>0</v>
      </c>
      <c r="AZ192" s="55">
        <v>664753.06999999995</v>
      </c>
      <c r="BA192" s="55"/>
      <c r="BB192" s="55">
        <v>0</v>
      </c>
      <c r="BC192" s="55"/>
      <c r="BD192" s="55"/>
      <c r="BE192" s="55">
        <v>0</v>
      </c>
      <c r="BF192" s="55">
        <v>0</v>
      </c>
      <c r="BG192" s="55">
        <v>0</v>
      </c>
      <c r="BH192" s="55">
        <v>0</v>
      </c>
      <c r="BI192" s="55">
        <v>0</v>
      </c>
      <c r="BJ192" s="55">
        <v>77193.930999999997</v>
      </c>
      <c r="BK192" s="63">
        <v>7719.3931000000002</v>
      </c>
      <c r="BL192" s="64">
        <v>14702.356098259999</v>
      </c>
      <c r="BM192" s="8">
        <f t="shared" si="57"/>
        <v>764368.75019825995</v>
      </c>
      <c r="BN192" s="55">
        <v>0</v>
      </c>
      <c r="BO192" s="55">
        <v>0</v>
      </c>
      <c r="BP192" s="71">
        <v>664753.06999999995</v>
      </c>
      <c r="BQ192" s="55"/>
      <c r="BR192" s="55">
        <v>0</v>
      </c>
      <c r="BS192" s="55"/>
      <c r="BT192" s="55"/>
      <c r="BU192" s="55">
        <v>0</v>
      </c>
      <c r="BV192" s="55">
        <v>0</v>
      </c>
      <c r="BW192" s="55">
        <v>0</v>
      </c>
      <c r="BX192" s="55">
        <v>0</v>
      </c>
      <c r="BY192" s="55">
        <v>0</v>
      </c>
      <c r="BZ192" s="55">
        <v>77193.930999999997</v>
      </c>
      <c r="CA192" s="63">
        <v>7719.3931000000002</v>
      </c>
      <c r="CB192" s="64">
        <v>14702.356098259999</v>
      </c>
    </row>
    <row r="193" spans="1:152" x14ac:dyDescent="0.25">
      <c r="A193" s="52">
        <f t="shared" si="58"/>
        <v>176</v>
      </c>
      <c r="B193" s="53">
        <f t="shared" si="59"/>
        <v>176</v>
      </c>
      <c r="C193" s="53" t="s">
        <v>279</v>
      </c>
      <c r="D193" s="53" t="s">
        <v>281</v>
      </c>
      <c r="E193" s="54">
        <v>1979</v>
      </c>
      <c r="F193" s="54">
        <v>2010</v>
      </c>
      <c r="G193" s="54" t="s">
        <v>64</v>
      </c>
      <c r="H193" s="54">
        <v>5</v>
      </c>
      <c r="I193" s="54">
        <v>2</v>
      </c>
      <c r="J193" s="55">
        <v>1745.5</v>
      </c>
      <c r="K193" s="55">
        <v>1575.1</v>
      </c>
      <c r="L193" s="55">
        <v>0</v>
      </c>
      <c r="M193" s="56">
        <v>61</v>
      </c>
      <c r="N193" s="62">
        <v>365088.24984040001</v>
      </c>
      <c r="O193" s="55"/>
      <c r="P193" s="63"/>
      <c r="Q193" s="63"/>
      <c r="R193" s="63">
        <v>365088.24984040001</v>
      </c>
      <c r="S193" s="63">
        <v>0</v>
      </c>
      <c r="T193" s="55">
        <v>0</v>
      </c>
      <c r="U193" s="63">
        <v>231.787346733795</v>
      </c>
      <c r="V193" s="63">
        <v>231.787346733795</v>
      </c>
      <c r="W193" s="59">
        <v>2022</v>
      </c>
      <c r="X193" s="6" t="e">
        <v>#REF!</v>
      </c>
      <c r="Z193" s="62">
        <f t="shared" si="60"/>
        <v>1782216.8299999998</v>
      </c>
      <c r="AA193" s="55">
        <v>0</v>
      </c>
      <c r="AB193" s="55">
        <v>0</v>
      </c>
      <c r="AC193" s="55">
        <v>0</v>
      </c>
      <c r="AD193" s="55">
        <v>847487.25615959999</v>
      </c>
      <c r="AE193" s="55">
        <v>523452.69346481998</v>
      </c>
      <c r="AF193" s="55"/>
      <c r="AG193" s="55">
        <v>0</v>
      </c>
      <c r="AH193" s="55">
        <v>0</v>
      </c>
      <c r="AI193" s="55">
        <v>0</v>
      </c>
      <c r="AJ193" s="55">
        <v>0</v>
      </c>
      <c r="AK193" s="55">
        <v>0</v>
      </c>
      <c r="AL193" s="55">
        <v>0</v>
      </c>
      <c r="AM193" s="55">
        <v>363475.03200000001</v>
      </c>
      <c r="AN193" s="63">
        <v>17822.168300000001</v>
      </c>
      <c r="AO193" s="64">
        <v>29979.68007558</v>
      </c>
      <c r="AP193" s="61">
        <f>+N193-'Приложение №2'!E193</f>
        <v>0</v>
      </c>
      <c r="AQ193" s="1">
        <f>667423.91-106073.7</f>
        <v>561350.21000000008</v>
      </c>
      <c r="AR193" s="3">
        <f t="shared" si="54"/>
        <v>160660.19999999998</v>
      </c>
      <c r="AS193" s="3">
        <f>+(K193*10+L193*20)*12*30</f>
        <v>5670360</v>
      </c>
      <c r="AT193" s="6">
        <f t="shared" si="61"/>
        <v>-5670360</v>
      </c>
      <c r="AW193" s="62">
        <f t="shared" si="56"/>
        <v>365088.24984040001</v>
      </c>
      <c r="AX193" s="55">
        <v>0</v>
      </c>
      <c r="AY193" s="55">
        <v>0</v>
      </c>
      <c r="AZ193" s="55">
        <v>0</v>
      </c>
      <c r="BA193" s="55">
        <v>346555.42</v>
      </c>
      <c r="BB193" s="55"/>
      <c r="BC193" s="55"/>
      <c r="BD193" s="55"/>
      <c r="BE193" s="55">
        <v>0</v>
      </c>
      <c r="BF193" s="55">
        <v>0</v>
      </c>
      <c r="BG193" s="55">
        <v>0</v>
      </c>
      <c r="BH193" s="55">
        <v>0</v>
      </c>
      <c r="BI193" s="55">
        <v>0</v>
      </c>
      <c r="BJ193" s="55"/>
      <c r="BK193" s="63"/>
      <c r="BL193" s="64">
        <v>18532.829840400002</v>
      </c>
      <c r="BM193" s="8">
        <f t="shared" si="57"/>
        <v>365088.24984040001</v>
      </c>
      <c r="BN193" s="55">
        <v>0</v>
      </c>
      <c r="BO193" s="55">
        <v>0</v>
      </c>
      <c r="BP193" s="71">
        <v>0</v>
      </c>
      <c r="BQ193" s="55">
        <v>346555.42</v>
      </c>
      <c r="BR193" s="55"/>
      <c r="BS193" s="55"/>
      <c r="BT193" s="55"/>
      <c r="BU193" s="55">
        <v>0</v>
      </c>
      <c r="BV193" s="55">
        <v>0</v>
      </c>
      <c r="BW193" s="55">
        <v>0</v>
      </c>
      <c r="BX193" s="55">
        <v>0</v>
      </c>
      <c r="BY193" s="55">
        <v>0</v>
      </c>
      <c r="BZ193" s="55"/>
      <c r="CA193" s="63"/>
      <c r="CB193" s="64">
        <v>18532.829840400002</v>
      </c>
    </row>
    <row r="194" spans="1:152" x14ac:dyDescent="0.25">
      <c r="A194" s="52">
        <f t="shared" si="58"/>
        <v>177</v>
      </c>
      <c r="B194" s="53">
        <f t="shared" si="59"/>
        <v>177</v>
      </c>
      <c r="C194" s="53" t="s">
        <v>279</v>
      </c>
      <c r="D194" s="53" t="s">
        <v>282</v>
      </c>
      <c r="E194" s="54">
        <v>1979</v>
      </c>
      <c r="F194" s="54">
        <v>1979</v>
      </c>
      <c r="G194" s="54" t="s">
        <v>64</v>
      </c>
      <c r="H194" s="54">
        <v>5</v>
      </c>
      <c r="I194" s="54">
        <v>3</v>
      </c>
      <c r="J194" s="55">
        <v>4465.2700000000004</v>
      </c>
      <c r="K194" s="55">
        <v>4027.37</v>
      </c>
      <c r="L194" s="55">
        <v>437.9</v>
      </c>
      <c r="M194" s="56">
        <v>123</v>
      </c>
      <c r="N194" s="62">
        <v>8606121.4599104002</v>
      </c>
      <c r="O194" s="55"/>
      <c r="P194" s="63"/>
      <c r="Q194" s="63"/>
      <c r="R194" s="63">
        <v>1518552.78</v>
      </c>
      <c r="S194" s="63">
        <v>7087568.6799104</v>
      </c>
      <c r="T194" s="55">
        <v>0</v>
      </c>
      <c r="U194" s="63">
        <v>1927.34626571526</v>
      </c>
      <c r="V194" s="63">
        <v>1927.34626571526</v>
      </c>
      <c r="W194" s="59">
        <v>2022</v>
      </c>
      <c r="X194" s="6" t="e">
        <v>#REF!</v>
      </c>
      <c r="Z194" s="62">
        <f t="shared" si="60"/>
        <v>15335711.040000001</v>
      </c>
      <c r="AA194" s="55">
        <v>0</v>
      </c>
      <c r="AB194" s="55">
        <v>0</v>
      </c>
      <c r="AC194" s="55">
        <v>0</v>
      </c>
      <c r="AD194" s="55">
        <v>1531596.9957119999</v>
      </c>
      <c r="AE194" s="55">
        <v>0</v>
      </c>
      <c r="AF194" s="55"/>
      <c r="AG194" s="55">
        <v>0</v>
      </c>
      <c r="AH194" s="55">
        <v>0</v>
      </c>
      <c r="AI194" s="55">
        <v>11903940.0760896</v>
      </c>
      <c r="AJ194" s="55">
        <v>0</v>
      </c>
      <c r="AK194" s="55">
        <v>0</v>
      </c>
      <c r="AL194" s="55">
        <v>0</v>
      </c>
      <c r="AM194" s="55">
        <v>1453008.8736</v>
      </c>
      <c r="AN194" s="63">
        <v>153357.11040000001</v>
      </c>
      <c r="AO194" s="64">
        <v>293807.98419839999</v>
      </c>
      <c r="AP194" s="61">
        <f>+N194-'Приложение №2'!E194</f>
        <v>0</v>
      </c>
      <c r="AQ194" s="1">
        <f>2029381.74-810307.04</f>
        <v>1219074.7</v>
      </c>
      <c r="AR194" s="3">
        <f t="shared" si="54"/>
        <v>500123.33999999991</v>
      </c>
      <c r="AS194" s="3">
        <f>+(K194*10+L194*20)*12*30-25438.56</f>
        <v>17625973.439999998</v>
      </c>
      <c r="AT194" s="6">
        <f t="shared" si="61"/>
        <v>-10538404.760089599</v>
      </c>
      <c r="AW194" s="62">
        <f t="shared" si="56"/>
        <v>8606121.4599104002</v>
      </c>
      <c r="AX194" s="55">
        <v>0</v>
      </c>
      <c r="AY194" s="55">
        <v>0</v>
      </c>
      <c r="AZ194" s="55">
        <v>0</v>
      </c>
      <c r="BA194" s="55"/>
      <c r="BB194" s="55">
        <v>0</v>
      </c>
      <c r="BC194" s="55"/>
      <c r="BD194" s="55"/>
      <c r="BE194" s="55">
        <v>0</v>
      </c>
      <c r="BF194" s="55">
        <v>8345806.4000000004</v>
      </c>
      <c r="BG194" s="55">
        <v>0</v>
      </c>
      <c r="BH194" s="55">
        <v>0</v>
      </c>
      <c r="BI194" s="55">
        <v>0</v>
      </c>
      <c r="BJ194" s="55"/>
      <c r="BK194" s="63"/>
      <c r="BL194" s="64">
        <v>260315.05991040001</v>
      </c>
      <c r="BM194" s="8">
        <f t="shared" si="57"/>
        <v>8606121.4599104002</v>
      </c>
      <c r="BN194" s="55">
        <v>0</v>
      </c>
      <c r="BO194" s="55">
        <v>0</v>
      </c>
      <c r="BP194" s="71">
        <v>0</v>
      </c>
      <c r="BQ194" s="55"/>
      <c r="BR194" s="55">
        <v>0</v>
      </c>
      <c r="BS194" s="55"/>
      <c r="BT194" s="55"/>
      <c r="BU194" s="55">
        <v>0</v>
      </c>
      <c r="BV194" s="55">
        <v>8345806.4000000004</v>
      </c>
      <c r="BW194" s="55">
        <v>0</v>
      </c>
      <c r="BX194" s="55">
        <v>0</v>
      </c>
      <c r="BY194" s="55">
        <v>0</v>
      </c>
      <c r="BZ194" s="55"/>
      <c r="CA194" s="63"/>
      <c r="CB194" s="64">
        <v>260315.05991040001</v>
      </c>
    </row>
    <row r="195" spans="1:152" x14ac:dyDescent="0.25">
      <c r="A195" s="52">
        <f t="shared" si="58"/>
        <v>178</v>
      </c>
      <c r="B195" s="53">
        <f t="shared" si="59"/>
        <v>178</v>
      </c>
      <c r="C195" s="53" t="s">
        <v>279</v>
      </c>
      <c r="D195" s="53" t="s">
        <v>283</v>
      </c>
      <c r="E195" s="54">
        <v>1994</v>
      </c>
      <c r="F195" s="54">
        <v>2011</v>
      </c>
      <c r="G195" s="54" t="s">
        <v>64</v>
      </c>
      <c r="H195" s="54">
        <v>5</v>
      </c>
      <c r="I195" s="54">
        <v>2</v>
      </c>
      <c r="J195" s="55">
        <v>1801.3</v>
      </c>
      <c r="K195" s="55">
        <v>1628.1</v>
      </c>
      <c r="L195" s="55">
        <v>0</v>
      </c>
      <c r="M195" s="56">
        <v>70</v>
      </c>
      <c r="N195" s="62">
        <v>481793.98029292002</v>
      </c>
      <c r="O195" s="55"/>
      <c r="P195" s="63"/>
      <c r="Q195" s="63"/>
      <c r="R195" s="63">
        <v>481793.98029292002</v>
      </c>
      <c r="S195" s="63">
        <v>0</v>
      </c>
      <c r="T195" s="55">
        <v>0</v>
      </c>
      <c r="U195" s="63">
        <v>295.92407118292499</v>
      </c>
      <c r="V195" s="63">
        <v>295.92407118292499</v>
      </c>
      <c r="W195" s="59">
        <v>2022</v>
      </c>
      <c r="X195" s="6" t="e">
        <v>#REF!</v>
      </c>
      <c r="Z195" s="62">
        <f t="shared" si="60"/>
        <v>3174451.3677608003</v>
      </c>
      <c r="AA195" s="55"/>
      <c r="AB195" s="55">
        <v>0</v>
      </c>
      <c r="AC195" s="55">
        <v>1384533.0509295601</v>
      </c>
      <c r="AD195" s="55">
        <v>894381.65855639998</v>
      </c>
      <c r="AE195" s="55">
        <v>0</v>
      </c>
      <c r="AF195" s="55"/>
      <c r="AG195" s="55">
        <v>151903.93578192001</v>
      </c>
      <c r="AH195" s="55">
        <v>0</v>
      </c>
      <c r="AI195" s="55">
        <v>0</v>
      </c>
      <c r="AJ195" s="55">
        <v>0</v>
      </c>
      <c r="AK195" s="55">
        <v>0</v>
      </c>
      <c r="AL195" s="55">
        <v>0</v>
      </c>
      <c r="AM195" s="55">
        <v>564457.80339999998</v>
      </c>
      <c r="AN195" s="63">
        <v>61326.978799999997</v>
      </c>
      <c r="AO195" s="64">
        <v>117847.94029292</v>
      </c>
      <c r="AP195" s="61">
        <f>+N195-'Приложение №2'!E195</f>
        <v>0</v>
      </c>
      <c r="AQ195" s="1">
        <v>668373.47</v>
      </c>
      <c r="AR195" s="3">
        <f t="shared" si="54"/>
        <v>166066.19999999998</v>
      </c>
      <c r="AS195" s="3">
        <f>+(K195*10+L195*20)*12*30</f>
        <v>5861160</v>
      </c>
      <c r="AT195" s="6">
        <f t="shared" si="61"/>
        <v>-5861160</v>
      </c>
      <c r="AW195" s="62">
        <f t="shared" si="56"/>
        <v>481793.98029291996</v>
      </c>
      <c r="AX195" s="55"/>
      <c r="AY195" s="55">
        <v>0</v>
      </c>
      <c r="AZ195" s="55"/>
      <c r="BA195" s="55">
        <v>363946.04</v>
      </c>
      <c r="BB195" s="55">
        <v>0</v>
      </c>
      <c r="BC195" s="55"/>
      <c r="BD195" s="55"/>
      <c r="BE195" s="55">
        <v>0</v>
      </c>
      <c r="BF195" s="55">
        <v>0</v>
      </c>
      <c r="BG195" s="55">
        <v>0</v>
      </c>
      <c r="BH195" s="55">
        <v>0</v>
      </c>
      <c r="BI195" s="55">
        <v>0</v>
      </c>
      <c r="BJ195" s="55"/>
      <c r="BK195" s="63"/>
      <c r="BL195" s="64">
        <v>117847.94029292</v>
      </c>
      <c r="BM195" s="8">
        <f t="shared" si="57"/>
        <v>481793.98029291996</v>
      </c>
      <c r="BN195" s="55"/>
      <c r="BO195" s="55">
        <v>0</v>
      </c>
      <c r="BP195" s="71"/>
      <c r="BQ195" s="55">
        <v>363946.04</v>
      </c>
      <c r="BR195" s="55">
        <v>0</v>
      </c>
      <c r="BS195" s="55"/>
      <c r="BT195" s="55"/>
      <c r="BU195" s="55">
        <v>0</v>
      </c>
      <c r="BV195" s="55">
        <v>0</v>
      </c>
      <c r="BW195" s="55">
        <v>0</v>
      </c>
      <c r="BX195" s="55">
        <v>0</v>
      </c>
      <c r="BY195" s="55">
        <v>0</v>
      </c>
      <c r="BZ195" s="55"/>
      <c r="CA195" s="63"/>
      <c r="CB195" s="64">
        <v>117847.94029292</v>
      </c>
    </row>
    <row r="196" spans="1:152" x14ac:dyDescent="0.25">
      <c r="A196" s="52">
        <f t="shared" si="58"/>
        <v>179</v>
      </c>
      <c r="B196" s="53">
        <f t="shared" si="59"/>
        <v>179</v>
      </c>
      <c r="C196" s="53" t="s">
        <v>279</v>
      </c>
      <c r="D196" s="53" t="s">
        <v>284</v>
      </c>
      <c r="E196" s="54">
        <v>1979</v>
      </c>
      <c r="F196" s="54">
        <v>2009</v>
      </c>
      <c r="G196" s="54" t="s">
        <v>64</v>
      </c>
      <c r="H196" s="54">
        <v>4</v>
      </c>
      <c r="I196" s="54">
        <v>4</v>
      </c>
      <c r="J196" s="55">
        <v>4071.8</v>
      </c>
      <c r="K196" s="55">
        <v>3488.7</v>
      </c>
      <c r="L196" s="55">
        <v>0</v>
      </c>
      <c r="M196" s="56">
        <v>160</v>
      </c>
      <c r="N196" s="62">
        <v>1379849.7611505999</v>
      </c>
      <c r="O196" s="55"/>
      <c r="P196" s="63"/>
      <c r="Q196" s="63"/>
      <c r="R196" s="63">
        <v>1187619.0900000001</v>
      </c>
      <c r="S196" s="63">
        <v>192230.67115060001</v>
      </c>
      <c r="T196" s="55">
        <v>0</v>
      </c>
      <c r="U196" s="63">
        <v>395.519752673087</v>
      </c>
      <c r="V196" s="63">
        <v>395.519752673087</v>
      </c>
      <c r="W196" s="59">
        <v>2022</v>
      </c>
      <c r="X196" s="6" t="e">
        <v>#REF!</v>
      </c>
      <c r="Z196" s="62">
        <f t="shared" si="60"/>
        <v>4761308.3999999994</v>
      </c>
      <c r="AA196" s="55">
        <v>0</v>
      </c>
      <c r="AB196" s="55">
        <v>0</v>
      </c>
      <c r="AC196" s="55">
        <v>0</v>
      </c>
      <c r="AD196" s="55">
        <v>2675095.0678494</v>
      </c>
      <c r="AE196" s="55">
        <v>1068700.1105655001</v>
      </c>
      <c r="AF196" s="55"/>
      <c r="AG196" s="55">
        <v>0</v>
      </c>
      <c r="AH196" s="55">
        <v>0</v>
      </c>
      <c r="AI196" s="55">
        <v>0</v>
      </c>
      <c r="AJ196" s="55">
        <v>0</v>
      </c>
      <c r="AK196" s="55">
        <v>0</v>
      </c>
      <c r="AL196" s="55">
        <v>0</v>
      </c>
      <c r="AM196" s="55">
        <v>888030.91949999996</v>
      </c>
      <c r="AN196" s="63">
        <v>47613.084000000003</v>
      </c>
      <c r="AO196" s="64">
        <v>81869.218085100001</v>
      </c>
      <c r="AP196" s="61">
        <f>+N196-'Приложение №2'!E196</f>
        <v>0</v>
      </c>
      <c r="AQ196" s="1">
        <f>1427606.19-595834.5</f>
        <v>831771.69</v>
      </c>
      <c r="AR196" s="3">
        <f t="shared" si="54"/>
        <v>355847.39999999997</v>
      </c>
      <c r="AS196" s="3">
        <f>+(K196*10+L196*20)*12*30-93757.36-12468</f>
        <v>12453094.640000001</v>
      </c>
      <c r="AT196" s="6">
        <f t="shared" si="61"/>
        <v>-12260863.9688494</v>
      </c>
      <c r="AW196" s="62">
        <f t="shared" si="56"/>
        <v>1379849.7611506002</v>
      </c>
      <c r="AX196" s="55">
        <v>0</v>
      </c>
      <c r="AY196" s="55">
        <v>0</v>
      </c>
      <c r="AZ196" s="55">
        <v>0</v>
      </c>
      <c r="BA196" s="55">
        <v>1321350.8500000001</v>
      </c>
      <c r="BB196" s="55"/>
      <c r="BC196" s="55"/>
      <c r="BD196" s="55"/>
      <c r="BE196" s="55">
        <v>0</v>
      </c>
      <c r="BF196" s="55">
        <v>0</v>
      </c>
      <c r="BG196" s="55">
        <v>0</v>
      </c>
      <c r="BH196" s="55">
        <v>0</v>
      </c>
      <c r="BI196" s="55">
        <v>0</v>
      </c>
      <c r="BJ196" s="55"/>
      <c r="BK196" s="63"/>
      <c r="BL196" s="64">
        <v>58498.911150599997</v>
      </c>
      <c r="BM196" s="8">
        <f t="shared" si="57"/>
        <v>1379849.7611506002</v>
      </c>
      <c r="BN196" s="55">
        <v>0</v>
      </c>
      <c r="BO196" s="55">
        <v>0</v>
      </c>
      <c r="BP196" s="71">
        <v>0</v>
      </c>
      <c r="BQ196" s="55">
        <v>1321350.8500000001</v>
      </c>
      <c r="BR196" s="55"/>
      <c r="BS196" s="55"/>
      <c r="BT196" s="55"/>
      <c r="BU196" s="55">
        <v>0</v>
      </c>
      <c r="BV196" s="55">
        <v>0</v>
      </c>
      <c r="BW196" s="55">
        <v>0</v>
      </c>
      <c r="BX196" s="55">
        <v>0</v>
      </c>
      <c r="BY196" s="55">
        <v>0</v>
      </c>
      <c r="BZ196" s="55"/>
      <c r="CA196" s="63"/>
      <c r="CB196" s="64">
        <v>58498.911150599997</v>
      </c>
    </row>
    <row r="197" spans="1:152" x14ac:dyDescent="0.25">
      <c r="A197" s="52">
        <f t="shared" si="58"/>
        <v>180</v>
      </c>
      <c r="B197" s="53">
        <f t="shared" si="59"/>
        <v>180</v>
      </c>
      <c r="C197" s="53" t="s">
        <v>279</v>
      </c>
      <c r="D197" s="53" t="s">
        <v>285</v>
      </c>
      <c r="E197" s="54">
        <v>1973</v>
      </c>
      <c r="F197" s="54">
        <v>2010</v>
      </c>
      <c r="G197" s="54" t="s">
        <v>64</v>
      </c>
      <c r="H197" s="54">
        <v>5</v>
      </c>
      <c r="I197" s="54">
        <v>4</v>
      </c>
      <c r="J197" s="55">
        <v>3449.3</v>
      </c>
      <c r="K197" s="55">
        <v>3117.4</v>
      </c>
      <c r="L197" s="55">
        <v>171.7</v>
      </c>
      <c r="M197" s="56">
        <v>147</v>
      </c>
      <c r="N197" s="62">
        <v>3552408.6974952398</v>
      </c>
      <c r="O197" s="55"/>
      <c r="P197" s="63">
        <v>731499.76793584798</v>
      </c>
      <c r="Q197" s="63"/>
      <c r="R197" s="63">
        <v>299122.24749524001</v>
      </c>
      <c r="S197" s="63">
        <v>2521786.68206415</v>
      </c>
      <c r="T197" s="55">
        <v>0</v>
      </c>
      <c r="U197" s="63">
        <v>1080.05493827954</v>
      </c>
      <c r="V197" s="63">
        <v>1080.05493827954</v>
      </c>
      <c r="W197" s="59">
        <v>2022</v>
      </c>
      <c r="X197" s="6" t="e">
        <v>#REF!</v>
      </c>
      <c r="Z197" s="62">
        <f t="shared" si="60"/>
        <v>17920574.470533662</v>
      </c>
      <c r="AA197" s="55"/>
      <c r="AB197" s="55">
        <v>0</v>
      </c>
      <c r="AC197" s="55">
        <v>0</v>
      </c>
      <c r="AD197" s="55">
        <v>0</v>
      </c>
      <c r="AE197" s="55">
        <v>1035545.47294086</v>
      </c>
      <c r="AF197" s="55"/>
      <c r="AG197" s="55">
        <v>0</v>
      </c>
      <c r="AH197" s="55">
        <v>0</v>
      </c>
      <c r="AI197" s="55">
        <v>0</v>
      </c>
      <c r="AJ197" s="55">
        <v>0</v>
      </c>
      <c r="AK197" s="55">
        <v>6731411.6906387396</v>
      </c>
      <c r="AL197" s="55">
        <v>6947141.1784660202</v>
      </c>
      <c r="AM197" s="55">
        <v>2528780.7582</v>
      </c>
      <c r="AN197" s="63">
        <v>234660.19320000001</v>
      </c>
      <c r="AO197" s="64">
        <v>443035.17708803999</v>
      </c>
      <c r="AP197" s="61">
        <f>+N197-'Приложение №2'!E197</f>
        <v>0</v>
      </c>
      <c r="AQ197" s="1">
        <f>1240910.11-689425.44-282620.64</f>
        <v>268864.03000000014</v>
      </c>
      <c r="AR197" s="3">
        <f t="shared" si="54"/>
        <v>353001.6</v>
      </c>
      <c r="AS197" s="3">
        <f>+(K197*10+L197*20)*12*30-3027646.57-12468.88</f>
        <v>9418764.5499999989</v>
      </c>
      <c r="AT197" s="6">
        <f t="shared" si="61"/>
        <v>-6896977.8679358494</v>
      </c>
      <c r="AW197" s="62">
        <f t="shared" si="56"/>
        <v>3552408.6974952403</v>
      </c>
      <c r="AX197" s="55"/>
      <c r="AY197" s="55">
        <v>0</v>
      </c>
      <c r="AZ197" s="55">
        <v>0</v>
      </c>
      <c r="BA197" s="55">
        <v>0</v>
      </c>
      <c r="BB197" s="55"/>
      <c r="BC197" s="55"/>
      <c r="BD197" s="55"/>
      <c r="BE197" s="55">
        <v>0</v>
      </c>
      <c r="BF197" s="55">
        <v>0</v>
      </c>
      <c r="BG197" s="55">
        <v>0</v>
      </c>
      <c r="BH197" s="55"/>
      <c r="BI197" s="55">
        <v>3253286.45</v>
      </c>
      <c r="BJ197" s="55"/>
      <c r="BK197" s="63"/>
      <c r="BL197" s="64">
        <v>299122.24749524001</v>
      </c>
      <c r="BM197" s="8">
        <f t="shared" si="57"/>
        <v>3552408.6974952403</v>
      </c>
      <c r="BN197" s="55"/>
      <c r="BO197" s="55">
        <v>0</v>
      </c>
      <c r="BP197" s="71">
        <v>0</v>
      </c>
      <c r="BQ197" s="55">
        <v>0</v>
      </c>
      <c r="BR197" s="55"/>
      <c r="BS197" s="55"/>
      <c r="BT197" s="55"/>
      <c r="BU197" s="55">
        <v>0</v>
      </c>
      <c r="BV197" s="55">
        <v>0</v>
      </c>
      <c r="BW197" s="55">
        <v>0</v>
      </c>
      <c r="BX197" s="55"/>
      <c r="BY197" s="55">
        <v>3253286.45</v>
      </c>
      <c r="BZ197" s="55"/>
      <c r="CA197" s="63"/>
      <c r="CB197" s="64">
        <v>299122.24749524001</v>
      </c>
    </row>
    <row r="198" spans="1:152" x14ac:dyDescent="0.25">
      <c r="A198" s="52">
        <f t="shared" si="58"/>
        <v>181</v>
      </c>
      <c r="B198" s="53">
        <f t="shared" si="59"/>
        <v>181</v>
      </c>
      <c r="C198" s="53" t="s">
        <v>279</v>
      </c>
      <c r="D198" s="53" t="s">
        <v>286</v>
      </c>
      <c r="E198" s="54">
        <v>1985</v>
      </c>
      <c r="F198" s="54">
        <v>2011</v>
      </c>
      <c r="G198" s="54" t="s">
        <v>64</v>
      </c>
      <c r="H198" s="54">
        <v>5</v>
      </c>
      <c r="I198" s="54">
        <v>2</v>
      </c>
      <c r="J198" s="55">
        <v>1696.6</v>
      </c>
      <c r="K198" s="55">
        <v>1532.2</v>
      </c>
      <c r="L198" s="55">
        <v>54.4</v>
      </c>
      <c r="M198" s="56">
        <v>58</v>
      </c>
      <c r="N198" s="62">
        <v>1178970.48751072</v>
      </c>
      <c r="O198" s="55"/>
      <c r="P198" s="63">
        <v>0</v>
      </c>
      <c r="Q198" s="63"/>
      <c r="R198" s="63">
        <v>827589.23</v>
      </c>
      <c r="S198" s="63">
        <v>351381.25751072</v>
      </c>
      <c r="T198" s="55">
        <v>0</v>
      </c>
      <c r="U198" s="63">
        <v>743.07984842475696</v>
      </c>
      <c r="V198" s="63">
        <v>743.07984842475696</v>
      </c>
      <c r="W198" s="59">
        <v>2022</v>
      </c>
      <c r="X198" s="6" t="e">
        <v>#REF!</v>
      </c>
      <c r="Z198" s="62">
        <f t="shared" si="60"/>
        <v>6417929.1893379986</v>
      </c>
      <c r="AA198" s="55">
        <v>2736613.71043242</v>
      </c>
      <c r="AB198" s="55">
        <v>0</v>
      </c>
      <c r="AC198" s="55">
        <v>1280803.3788694199</v>
      </c>
      <c r="AD198" s="55">
        <v>849765.59</v>
      </c>
      <c r="AE198" s="55">
        <v>511029.86662728002</v>
      </c>
      <c r="AF198" s="55"/>
      <c r="AG198" s="55">
        <v>140523.24640872001</v>
      </c>
      <c r="AH198" s="55">
        <v>0</v>
      </c>
      <c r="AI198" s="55">
        <v>0</v>
      </c>
      <c r="AJ198" s="55">
        <v>0</v>
      </c>
      <c r="AK198" s="55">
        <v>0</v>
      </c>
      <c r="AL198" s="55">
        <v>0</v>
      </c>
      <c r="AM198" s="55">
        <v>731735.25</v>
      </c>
      <c r="AN198" s="63">
        <v>56969.515599999999</v>
      </c>
      <c r="AO198" s="64">
        <v>110488.63140016</v>
      </c>
      <c r="AP198" s="61">
        <f>+N198-'Приложение №2'!E198</f>
        <v>0</v>
      </c>
      <c r="AQ198" s="1">
        <v>660207.23</v>
      </c>
      <c r="AR198" s="3">
        <f t="shared" si="54"/>
        <v>167382</v>
      </c>
      <c r="AS198" s="3">
        <f>+(K198*10+L198*20)*12*30</f>
        <v>5907600</v>
      </c>
      <c r="AT198" s="6">
        <f t="shared" si="61"/>
        <v>-5556218.7424892802</v>
      </c>
      <c r="AW198" s="62">
        <f t="shared" si="56"/>
        <v>1178970.48751072</v>
      </c>
      <c r="AX198" s="55"/>
      <c r="AY198" s="55"/>
      <c r="AZ198" s="55">
        <v>667653.5</v>
      </c>
      <c r="BA198" s="55">
        <v>491754.09</v>
      </c>
      <c r="BB198" s="55"/>
      <c r="BC198" s="55"/>
      <c r="BD198" s="55"/>
      <c r="BE198" s="55">
        <v>0</v>
      </c>
      <c r="BF198" s="55">
        <v>0</v>
      </c>
      <c r="BG198" s="55">
        <v>0</v>
      </c>
      <c r="BH198" s="55">
        <v>0</v>
      </c>
      <c r="BI198" s="55">
        <v>0</v>
      </c>
      <c r="BJ198" s="55"/>
      <c r="BK198" s="63"/>
      <c r="BL198" s="64">
        <v>19562.897510719999</v>
      </c>
      <c r="BM198" s="8">
        <f t="shared" si="57"/>
        <v>1178970.48751072</v>
      </c>
      <c r="BN198" s="55"/>
      <c r="BO198" s="55"/>
      <c r="BP198" s="71">
        <v>667653.5</v>
      </c>
      <c r="BQ198" s="55">
        <v>491754.09</v>
      </c>
      <c r="BR198" s="55"/>
      <c r="BS198" s="55"/>
      <c r="BT198" s="55"/>
      <c r="BU198" s="55">
        <v>0</v>
      </c>
      <c r="BV198" s="55">
        <v>0</v>
      </c>
      <c r="BW198" s="55">
        <v>0</v>
      </c>
      <c r="BX198" s="55">
        <v>0</v>
      </c>
      <c r="BY198" s="55">
        <v>0</v>
      </c>
      <c r="BZ198" s="55"/>
      <c r="CA198" s="63"/>
      <c r="CB198" s="64">
        <v>19562.897510719999</v>
      </c>
    </row>
    <row r="199" spans="1:152" x14ac:dyDescent="0.25">
      <c r="A199" s="52">
        <f t="shared" si="58"/>
        <v>182</v>
      </c>
      <c r="B199" s="53">
        <f t="shared" si="59"/>
        <v>182</v>
      </c>
      <c r="C199" s="53" t="s">
        <v>279</v>
      </c>
      <c r="D199" s="53" t="s">
        <v>287</v>
      </c>
      <c r="E199" s="54">
        <v>1983</v>
      </c>
      <c r="F199" s="54">
        <v>2012</v>
      </c>
      <c r="G199" s="54" t="s">
        <v>64</v>
      </c>
      <c r="H199" s="54">
        <v>4</v>
      </c>
      <c r="I199" s="54">
        <v>6</v>
      </c>
      <c r="J199" s="55">
        <v>5867</v>
      </c>
      <c r="K199" s="55">
        <v>4942.2</v>
      </c>
      <c r="L199" s="55">
        <v>35.200000000000003</v>
      </c>
      <c r="M199" s="56">
        <v>212</v>
      </c>
      <c r="N199" s="62">
        <v>2049515.5313291999</v>
      </c>
      <c r="O199" s="55"/>
      <c r="P199" s="63"/>
      <c r="Q199" s="63"/>
      <c r="R199" s="63">
        <v>1940839.38</v>
      </c>
      <c r="S199" s="63">
        <v>108676.1513292</v>
      </c>
      <c r="T199" s="55">
        <v>0</v>
      </c>
      <c r="U199" s="63">
        <v>411.76428081512398</v>
      </c>
      <c r="V199" s="63">
        <v>411.76428081512398</v>
      </c>
      <c r="W199" s="59">
        <v>2022</v>
      </c>
      <c r="X199" s="6" t="e">
        <v>#REF!</v>
      </c>
      <c r="Z199" s="62">
        <f t="shared" si="60"/>
        <v>10424876.889999999</v>
      </c>
      <c r="AA199" s="55">
        <v>0</v>
      </c>
      <c r="AB199" s="55">
        <v>0</v>
      </c>
      <c r="AC199" s="55">
        <v>4158927.1529168999</v>
      </c>
      <c r="AD199" s="55">
        <v>2686586.7666707998</v>
      </c>
      <c r="AE199" s="55">
        <v>1659377.25092916</v>
      </c>
      <c r="AF199" s="55"/>
      <c r="AG199" s="55">
        <v>0</v>
      </c>
      <c r="AH199" s="55">
        <v>0</v>
      </c>
      <c r="AI199" s="55">
        <v>0</v>
      </c>
      <c r="AJ199" s="55">
        <v>0</v>
      </c>
      <c r="AK199" s="55">
        <v>0</v>
      </c>
      <c r="AL199" s="55">
        <v>0</v>
      </c>
      <c r="AM199" s="55">
        <v>1629752.206</v>
      </c>
      <c r="AN199" s="63">
        <v>104248.7689</v>
      </c>
      <c r="AO199" s="64">
        <v>185984.74458314001</v>
      </c>
      <c r="AP199" s="61">
        <f>+N199-'Приложение №2'!E199</f>
        <v>0</v>
      </c>
      <c r="AQ199" s="1">
        <f>2070107.33-640553.15</f>
        <v>1429554.1800000002</v>
      </c>
      <c r="AR199" s="3">
        <f t="shared" si="54"/>
        <v>511285.2</v>
      </c>
      <c r="AS199" s="3">
        <f>+(K199*10+L199*20)*12*30-929957.98</f>
        <v>17115402.02</v>
      </c>
      <c r="AT199" s="6">
        <f t="shared" si="61"/>
        <v>-17006725.868670799</v>
      </c>
      <c r="AW199" s="62">
        <f t="shared" si="56"/>
        <v>2049515.5313292001</v>
      </c>
      <c r="AX199" s="55">
        <v>0</v>
      </c>
      <c r="AY199" s="55">
        <v>0</v>
      </c>
      <c r="AZ199" s="55"/>
      <c r="BA199" s="55">
        <v>1990765.32</v>
      </c>
      <c r="BB199" s="55"/>
      <c r="BC199" s="55"/>
      <c r="BD199" s="55"/>
      <c r="BE199" s="55">
        <v>0</v>
      </c>
      <c r="BF199" s="55">
        <v>0</v>
      </c>
      <c r="BG199" s="55">
        <v>0</v>
      </c>
      <c r="BH199" s="55">
        <v>0</v>
      </c>
      <c r="BI199" s="55">
        <v>0</v>
      </c>
      <c r="BJ199" s="55"/>
      <c r="BK199" s="63"/>
      <c r="BL199" s="64">
        <v>58750.211329199999</v>
      </c>
      <c r="BM199" s="8">
        <f t="shared" si="57"/>
        <v>2049515.5313292001</v>
      </c>
      <c r="BN199" s="55">
        <v>0</v>
      </c>
      <c r="BO199" s="55">
        <v>0</v>
      </c>
      <c r="BP199" s="71"/>
      <c r="BQ199" s="55">
        <v>1990765.32</v>
      </c>
      <c r="BR199" s="55"/>
      <c r="BS199" s="55"/>
      <c r="BT199" s="55"/>
      <c r="BU199" s="55">
        <v>0</v>
      </c>
      <c r="BV199" s="55">
        <v>0</v>
      </c>
      <c r="BW199" s="55">
        <v>0</v>
      </c>
      <c r="BX199" s="55">
        <v>0</v>
      </c>
      <c r="BY199" s="55">
        <v>0</v>
      </c>
      <c r="BZ199" s="55"/>
      <c r="CA199" s="63"/>
      <c r="CB199" s="64">
        <v>58750.211329199999</v>
      </c>
    </row>
    <row r="200" spans="1:152" x14ac:dyDescent="0.25">
      <c r="A200" s="52">
        <f t="shared" si="58"/>
        <v>183</v>
      </c>
      <c r="B200" s="53">
        <f t="shared" si="59"/>
        <v>183</v>
      </c>
      <c r="C200" s="53" t="s">
        <v>279</v>
      </c>
      <c r="D200" s="53" t="s">
        <v>288</v>
      </c>
      <c r="E200" s="54">
        <v>1969</v>
      </c>
      <c r="F200" s="54">
        <v>2009</v>
      </c>
      <c r="G200" s="54" t="s">
        <v>64</v>
      </c>
      <c r="H200" s="54">
        <v>4</v>
      </c>
      <c r="I200" s="54">
        <v>4</v>
      </c>
      <c r="J200" s="55">
        <v>2719.1</v>
      </c>
      <c r="K200" s="55">
        <v>2454</v>
      </c>
      <c r="L200" s="55">
        <v>66.5</v>
      </c>
      <c r="M200" s="56">
        <v>120</v>
      </c>
      <c r="N200" s="62">
        <v>6265968.0113439998</v>
      </c>
      <c r="O200" s="55"/>
      <c r="P200" s="63"/>
      <c r="Q200" s="63"/>
      <c r="R200" s="63">
        <v>1163543.43</v>
      </c>
      <c r="S200" s="63">
        <v>5102424.5813440001</v>
      </c>
      <c r="T200" s="55">
        <v>0</v>
      </c>
      <c r="U200" s="63">
        <v>2486.0019882340798</v>
      </c>
      <c r="V200" s="63">
        <v>2486.0019882340798</v>
      </c>
      <c r="W200" s="59">
        <v>2022</v>
      </c>
      <c r="X200" s="6" t="e">
        <v>#REF!</v>
      </c>
      <c r="Z200" s="62">
        <f t="shared" si="60"/>
        <v>14067048.463401999</v>
      </c>
      <c r="AA200" s="55">
        <v>0</v>
      </c>
      <c r="AB200" s="55">
        <v>0</v>
      </c>
      <c r="AC200" s="55">
        <v>0</v>
      </c>
      <c r="AD200" s="55">
        <v>0</v>
      </c>
      <c r="AE200" s="55">
        <v>850099.92968124</v>
      </c>
      <c r="AF200" s="55"/>
      <c r="AG200" s="55">
        <v>0</v>
      </c>
      <c r="AH200" s="55">
        <v>0</v>
      </c>
      <c r="AI200" s="55">
        <v>0</v>
      </c>
      <c r="AJ200" s="55">
        <v>0</v>
      </c>
      <c r="AK200" s="55">
        <v>6122487.8099999996</v>
      </c>
      <c r="AL200" s="55">
        <v>6280344.04</v>
      </c>
      <c r="AM200" s="55">
        <v>592071.17799999996</v>
      </c>
      <c r="AN200" s="63">
        <v>53956.3586</v>
      </c>
      <c r="AO200" s="64">
        <v>168089.14712076</v>
      </c>
      <c r="AP200" s="61">
        <f>+N200-'Приложение №2'!E200</f>
        <v>0</v>
      </c>
      <c r="AQ200" s="1">
        <v>882910.83</v>
      </c>
      <c r="AR200" s="3">
        <f t="shared" si="54"/>
        <v>263874</v>
      </c>
      <c r="AS200" s="3">
        <f>+(K200*10+L200*20)*12*30</f>
        <v>9313200</v>
      </c>
      <c r="AT200" s="6">
        <f t="shared" si="61"/>
        <v>-4210775.4186559999</v>
      </c>
      <c r="AW200" s="62">
        <f t="shared" si="56"/>
        <v>6265968.0113439998</v>
      </c>
      <c r="AX200" s="55">
        <v>0</v>
      </c>
      <c r="AY200" s="55">
        <v>0</v>
      </c>
      <c r="AZ200" s="55">
        <v>0</v>
      </c>
      <c r="BA200" s="55">
        <v>0</v>
      </c>
      <c r="BB200" s="55"/>
      <c r="BC200" s="55"/>
      <c r="BD200" s="55"/>
      <c r="BE200" s="55">
        <v>0</v>
      </c>
      <c r="BF200" s="55">
        <v>0</v>
      </c>
      <c r="BG200" s="55">
        <v>0</v>
      </c>
      <c r="BH200" s="55">
        <v>6113601.8799999999</v>
      </c>
      <c r="BI200" s="55"/>
      <c r="BJ200" s="55"/>
      <c r="BK200" s="63"/>
      <c r="BL200" s="64">
        <v>152366.13134399999</v>
      </c>
      <c r="BM200" s="8">
        <f t="shared" si="57"/>
        <v>6265968.0113439998</v>
      </c>
      <c r="BN200" s="55">
        <v>0</v>
      </c>
      <c r="BO200" s="55">
        <v>0</v>
      </c>
      <c r="BP200" s="71">
        <v>0</v>
      </c>
      <c r="BQ200" s="55">
        <v>0</v>
      </c>
      <c r="BR200" s="55"/>
      <c r="BS200" s="55"/>
      <c r="BT200" s="55"/>
      <c r="BU200" s="55">
        <v>0</v>
      </c>
      <c r="BV200" s="55">
        <v>0</v>
      </c>
      <c r="BW200" s="55">
        <v>0</v>
      </c>
      <c r="BX200" s="55">
        <v>6113601.8799999999</v>
      </c>
      <c r="BY200" s="55"/>
      <c r="BZ200" s="55"/>
      <c r="CA200" s="63"/>
      <c r="CB200" s="64">
        <v>152366.13134399999</v>
      </c>
    </row>
    <row r="201" spans="1:152" x14ac:dyDescent="0.25">
      <c r="A201" s="52">
        <f t="shared" si="58"/>
        <v>184</v>
      </c>
      <c r="B201" s="53">
        <f t="shared" si="59"/>
        <v>184</v>
      </c>
      <c r="C201" s="53" t="s">
        <v>279</v>
      </c>
      <c r="D201" s="53" t="s">
        <v>289</v>
      </c>
      <c r="E201" s="54">
        <v>1967</v>
      </c>
      <c r="F201" s="54">
        <v>2008</v>
      </c>
      <c r="G201" s="54" t="s">
        <v>64</v>
      </c>
      <c r="H201" s="54">
        <v>4</v>
      </c>
      <c r="I201" s="54">
        <v>4</v>
      </c>
      <c r="J201" s="55">
        <v>2789.5</v>
      </c>
      <c r="K201" s="55">
        <v>2436</v>
      </c>
      <c r="L201" s="55">
        <v>98.5</v>
      </c>
      <c r="M201" s="56">
        <v>116</v>
      </c>
      <c r="N201" s="62">
        <v>18257138.112024002</v>
      </c>
      <c r="O201" s="55"/>
      <c r="P201" s="63">
        <v>546289.42000000004</v>
      </c>
      <c r="Q201" s="63"/>
      <c r="R201" s="63">
        <v>1107518.53</v>
      </c>
      <c r="S201" s="63">
        <v>9478800</v>
      </c>
      <c r="T201" s="55">
        <v>7124530.1620239997</v>
      </c>
      <c r="U201" s="63">
        <v>7203.4476670049298</v>
      </c>
      <c r="V201" s="63">
        <v>7203.4476670049298</v>
      </c>
      <c r="W201" s="59">
        <v>2022</v>
      </c>
      <c r="X201" s="6" t="e">
        <v>#REF!</v>
      </c>
      <c r="Z201" s="62">
        <f t="shared" si="60"/>
        <v>19003273.532024</v>
      </c>
      <c r="AA201" s="55">
        <v>4925306.53</v>
      </c>
      <c r="AB201" s="55">
        <v>0</v>
      </c>
      <c r="AC201" s="55">
        <v>0</v>
      </c>
      <c r="AD201" s="55">
        <v>0</v>
      </c>
      <c r="AE201" s="55">
        <v>844685.70089903998</v>
      </c>
      <c r="AF201" s="55"/>
      <c r="AG201" s="55">
        <v>0</v>
      </c>
      <c r="AH201" s="55">
        <v>0</v>
      </c>
      <c r="AI201" s="55">
        <v>0</v>
      </c>
      <c r="AJ201" s="55">
        <v>0</v>
      </c>
      <c r="AK201" s="55">
        <v>6067163.0700000003</v>
      </c>
      <c r="AL201" s="55">
        <v>6238206.8099999996</v>
      </c>
      <c r="AM201" s="55">
        <v>642911.348</v>
      </c>
      <c r="AN201" s="63">
        <v>54084.785600000003</v>
      </c>
      <c r="AO201" s="64">
        <v>230915.28752496</v>
      </c>
      <c r="AP201" s="61">
        <f>+N201-'Приложение №2'!E201</f>
        <v>0</v>
      </c>
      <c r="AQ201" s="1">
        <v>996118.85</v>
      </c>
      <c r="AR201" s="3">
        <f t="shared" si="54"/>
        <v>268566</v>
      </c>
      <c r="AS201" s="3">
        <f>+(K201*10+L201*20)*12*30</f>
        <v>9478800</v>
      </c>
      <c r="AT201" s="6">
        <f t="shared" si="61"/>
        <v>0</v>
      </c>
      <c r="AW201" s="62">
        <f t="shared" si="56"/>
        <v>18257138.112024002</v>
      </c>
      <c r="AX201" s="55">
        <v>4878537.09</v>
      </c>
      <c r="AY201" s="55">
        <v>0</v>
      </c>
      <c r="AZ201" s="55">
        <v>0</v>
      </c>
      <c r="BA201" s="55">
        <v>0</v>
      </c>
      <c r="BB201" s="55"/>
      <c r="BC201" s="55"/>
      <c r="BD201" s="55"/>
      <c r="BE201" s="55">
        <v>0</v>
      </c>
      <c r="BF201" s="55">
        <v>0</v>
      </c>
      <c r="BG201" s="55">
        <v>0</v>
      </c>
      <c r="BH201" s="55">
        <v>5994057.4199999999</v>
      </c>
      <c r="BI201" s="55">
        <v>7172099.8799999999</v>
      </c>
      <c r="BJ201" s="55"/>
      <c r="BK201" s="63"/>
      <c r="BL201" s="64">
        <v>212443.72202399999</v>
      </c>
      <c r="BM201" s="8">
        <f t="shared" si="57"/>
        <v>18257138.112024002</v>
      </c>
      <c r="BN201" s="55">
        <v>4878537.09</v>
      </c>
      <c r="BO201" s="55">
        <v>0</v>
      </c>
      <c r="BP201" s="71">
        <v>0</v>
      </c>
      <c r="BQ201" s="55">
        <v>0</v>
      </c>
      <c r="BR201" s="55"/>
      <c r="BS201" s="55"/>
      <c r="BT201" s="55"/>
      <c r="BU201" s="55">
        <v>0</v>
      </c>
      <c r="BV201" s="55">
        <v>0</v>
      </c>
      <c r="BW201" s="55">
        <v>0</v>
      </c>
      <c r="BX201" s="55">
        <v>5994057.4199999999</v>
      </c>
      <c r="BY201" s="55">
        <v>7172099.8799999999</v>
      </c>
      <c r="BZ201" s="55"/>
      <c r="CA201" s="63"/>
      <c r="CB201" s="64">
        <v>212443.72202399999</v>
      </c>
    </row>
    <row r="202" spans="1:152" x14ac:dyDescent="0.25">
      <c r="A202" s="52">
        <f t="shared" si="58"/>
        <v>185</v>
      </c>
      <c r="B202" s="53">
        <f t="shared" si="59"/>
        <v>185</v>
      </c>
      <c r="C202" s="53" t="s">
        <v>279</v>
      </c>
      <c r="D202" s="53" t="s">
        <v>290</v>
      </c>
      <c r="E202" s="54">
        <v>1975</v>
      </c>
      <c r="F202" s="54">
        <v>1985</v>
      </c>
      <c r="G202" s="54" t="s">
        <v>64</v>
      </c>
      <c r="H202" s="54">
        <v>4</v>
      </c>
      <c r="I202" s="54">
        <v>1</v>
      </c>
      <c r="J202" s="55">
        <v>2576.4</v>
      </c>
      <c r="K202" s="55">
        <v>1895.4</v>
      </c>
      <c r="L202" s="55">
        <v>169.5</v>
      </c>
      <c r="M202" s="56">
        <v>92</v>
      </c>
      <c r="N202" s="62">
        <v>1244942.4749406199</v>
      </c>
      <c r="O202" s="55"/>
      <c r="P202" s="63"/>
      <c r="Q202" s="63"/>
      <c r="R202" s="63">
        <v>1018495.61</v>
      </c>
      <c r="S202" s="63">
        <v>226446.86494062</v>
      </c>
      <c r="T202" s="55">
        <v>0</v>
      </c>
      <c r="U202" s="63">
        <v>602.90690829610105</v>
      </c>
      <c r="V202" s="63">
        <v>602.90690829610105</v>
      </c>
      <c r="W202" s="59">
        <v>2022</v>
      </c>
      <c r="X202" s="6" t="e">
        <v>#REF!</v>
      </c>
      <c r="Z202" s="62">
        <f t="shared" si="60"/>
        <v>1957771.9699999997</v>
      </c>
      <c r="AA202" s="55">
        <v>0</v>
      </c>
      <c r="AB202" s="55">
        <v>0</v>
      </c>
      <c r="AC202" s="55">
        <v>1705129.3283593799</v>
      </c>
      <c r="AD202" s="55">
        <v>0</v>
      </c>
      <c r="AE202" s="55">
        <v>0</v>
      </c>
      <c r="AF202" s="55"/>
      <c r="AG202" s="55">
        <v>0</v>
      </c>
      <c r="AH202" s="55">
        <v>0</v>
      </c>
      <c r="AI202" s="55">
        <v>0</v>
      </c>
      <c r="AJ202" s="55">
        <v>0</v>
      </c>
      <c r="AK202" s="55">
        <v>0</v>
      </c>
      <c r="AL202" s="55">
        <v>0</v>
      </c>
      <c r="AM202" s="55">
        <v>195777.19699999999</v>
      </c>
      <c r="AN202" s="63">
        <v>19577.719700000001</v>
      </c>
      <c r="AO202" s="64">
        <v>37287.724940619999</v>
      </c>
      <c r="AP202" s="61">
        <f>+N202-'Приложение №2'!E202</f>
        <v>0</v>
      </c>
      <c r="AQ202" s="1">
        <v>790586.81</v>
      </c>
      <c r="AR202" s="3">
        <f t="shared" si="54"/>
        <v>227908.8</v>
      </c>
      <c r="AS202" s="3">
        <f>+(K202*10+L202*20)*12*30</f>
        <v>8043840</v>
      </c>
      <c r="AT202" s="6">
        <f t="shared" si="61"/>
        <v>-7817393.13505938</v>
      </c>
      <c r="AW202" s="62">
        <f t="shared" si="56"/>
        <v>1244942.4749406199</v>
      </c>
      <c r="AX202" s="55">
        <v>0</v>
      </c>
      <c r="AY202" s="55">
        <v>0</v>
      </c>
      <c r="AZ202" s="55">
        <v>1207654.75</v>
      </c>
      <c r="BA202" s="55">
        <v>0</v>
      </c>
      <c r="BB202" s="55">
        <v>0</v>
      </c>
      <c r="BC202" s="55"/>
      <c r="BD202" s="55"/>
      <c r="BE202" s="55">
        <v>0</v>
      </c>
      <c r="BF202" s="55">
        <v>0</v>
      </c>
      <c r="BG202" s="55">
        <v>0</v>
      </c>
      <c r="BH202" s="55">
        <v>0</v>
      </c>
      <c r="BI202" s="55">
        <v>0</v>
      </c>
      <c r="BJ202" s="55"/>
      <c r="BK202" s="63"/>
      <c r="BL202" s="64">
        <v>37287.724940619999</v>
      </c>
      <c r="BM202" s="8">
        <f t="shared" si="57"/>
        <v>1244942.4749406199</v>
      </c>
      <c r="BN202" s="55">
        <v>0</v>
      </c>
      <c r="BO202" s="55">
        <v>0</v>
      </c>
      <c r="BP202" s="71">
        <v>1207654.75</v>
      </c>
      <c r="BQ202" s="55">
        <v>0</v>
      </c>
      <c r="BR202" s="55">
        <v>0</v>
      </c>
      <c r="BS202" s="55"/>
      <c r="BT202" s="55"/>
      <c r="BU202" s="55">
        <v>0</v>
      </c>
      <c r="BV202" s="55">
        <v>0</v>
      </c>
      <c r="BW202" s="55">
        <v>0</v>
      </c>
      <c r="BX202" s="55">
        <v>0</v>
      </c>
      <c r="BY202" s="55">
        <v>0</v>
      </c>
      <c r="BZ202" s="55"/>
      <c r="CA202" s="63"/>
      <c r="CB202" s="64">
        <v>37287.724940619999</v>
      </c>
    </row>
    <row r="203" spans="1:152" x14ac:dyDescent="0.25">
      <c r="A203" s="52">
        <f t="shared" si="58"/>
        <v>186</v>
      </c>
      <c r="B203" s="53">
        <f t="shared" si="59"/>
        <v>186</v>
      </c>
      <c r="C203" s="53" t="s">
        <v>108</v>
      </c>
      <c r="D203" s="53" t="s">
        <v>291</v>
      </c>
      <c r="E203" s="54">
        <v>2005</v>
      </c>
      <c r="F203" s="54"/>
      <c r="G203" s="54" t="s">
        <v>64</v>
      </c>
      <c r="H203" s="54">
        <v>6</v>
      </c>
      <c r="I203" s="54">
        <v>1</v>
      </c>
      <c r="J203" s="55">
        <v>1214.0999999999999</v>
      </c>
      <c r="K203" s="55">
        <v>1104.5999999999999</v>
      </c>
      <c r="L203" s="55">
        <v>0</v>
      </c>
      <c r="M203" s="56">
        <v>41</v>
      </c>
      <c r="N203" s="62">
        <v>4254086.16</v>
      </c>
      <c r="O203" s="55"/>
      <c r="P203" s="63"/>
      <c r="Q203" s="63"/>
      <c r="R203" s="63">
        <v>4254086.16</v>
      </c>
      <c r="S203" s="63"/>
      <c r="T203" s="63">
        <v>0</v>
      </c>
      <c r="U203" s="63">
        <v>3851.2458446496498</v>
      </c>
      <c r="V203" s="63">
        <v>3851.2458446496498</v>
      </c>
      <c r="W203" s="59">
        <v>2022</v>
      </c>
      <c r="X203" s="6" t="e">
        <v>#REF!</v>
      </c>
      <c r="Z203" s="62">
        <f t="shared" si="60"/>
        <v>7345879.3544120006</v>
      </c>
      <c r="AA203" s="55">
        <v>0</v>
      </c>
      <c r="AB203" s="55">
        <v>0</v>
      </c>
      <c r="AC203" s="55">
        <v>0</v>
      </c>
      <c r="AD203" s="55">
        <v>0</v>
      </c>
      <c r="AE203" s="55">
        <v>491444.9</v>
      </c>
      <c r="AF203" s="55"/>
      <c r="AG203" s="55">
        <v>0</v>
      </c>
      <c r="AH203" s="55">
        <v>0</v>
      </c>
      <c r="AI203" s="55">
        <v>0</v>
      </c>
      <c r="AJ203" s="55">
        <v>0</v>
      </c>
      <c r="AK203" s="55">
        <v>2817572.53491042</v>
      </c>
      <c r="AL203" s="55">
        <v>3039081.7867057198</v>
      </c>
      <c r="AM203" s="55">
        <v>797894.04099999997</v>
      </c>
      <c r="AN203" s="63">
        <v>68910.799100000004</v>
      </c>
      <c r="AO203" s="64">
        <v>130975.29269586</v>
      </c>
      <c r="AP203" s="61" t="s">
        <v>292</v>
      </c>
      <c r="AQ203" s="1">
        <v>547627.87</v>
      </c>
      <c r="AR203" s="3">
        <f t="shared" si="54"/>
        <v>112669.2</v>
      </c>
      <c r="AS203" s="3">
        <f>+(K203*10+L203*20)*12*30</f>
        <v>3976560</v>
      </c>
      <c r="AT203" s="6">
        <f t="shared" si="61"/>
        <v>-3976560</v>
      </c>
      <c r="AW203" s="62">
        <f t="shared" si="56"/>
        <v>4254086.16</v>
      </c>
      <c r="AX203" s="55"/>
      <c r="AY203" s="55"/>
      <c r="AZ203" s="55"/>
      <c r="BA203" s="55"/>
      <c r="BB203" s="55"/>
      <c r="BC203" s="55"/>
      <c r="BD203" s="55"/>
      <c r="BE203" s="55"/>
      <c r="BF203" s="55">
        <v>4254086.16</v>
      </c>
      <c r="BG203" s="55"/>
      <c r="BH203" s="55"/>
      <c r="BI203" s="55"/>
      <c r="BJ203" s="55"/>
      <c r="BK203" s="55"/>
      <c r="BL203" s="55"/>
      <c r="BM203" s="8">
        <f t="shared" si="57"/>
        <v>4254086.16</v>
      </c>
      <c r="BN203" s="55"/>
      <c r="BO203" s="55"/>
      <c r="BP203" s="71"/>
      <c r="BQ203" s="55"/>
      <c r="BR203" s="55"/>
      <c r="BS203" s="55"/>
      <c r="BT203" s="55"/>
      <c r="BU203" s="55"/>
      <c r="BV203" s="55">
        <v>4254086.16</v>
      </c>
      <c r="BW203" s="55"/>
      <c r="BX203" s="55"/>
      <c r="BY203" s="55"/>
      <c r="BZ203" s="55"/>
      <c r="CA203" s="55"/>
      <c r="CB203" s="55"/>
    </row>
    <row r="204" spans="1:152" x14ac:dyDescent="0.25">
      <c r="A204" s="52">
        <f t="shared" si="58"/>
        <v>187</v>
      </c>
      <c r="B204" s="53">
        <f t="shared" si="59"/>
        <v>187</v>
      </c>
      <c r="C204" s="1" t="s">
        <v>293</v>
      </c>
      <c r="D204" s="53" t="s">
        <v>294</v>
      </c>
      <c r="E204" s="54" t="s">
        <v>295</v>
      </c>
      <c r="F204" s="54"/>
      <c r="G204" s="54" t="s">
        <v>64</v>
      </c>
      <c r="H204" s="54" t="s">
        <v>145</v>
      </c>
      <c r="I204" s="54" t="s">
        <v>102</v>
      </c>
      <c r="J204" s="55">
        <v>1440.7</v>
      </c>
      <c r="K204" s="55">
        <v>820.56</v>
      </c>
      <c r="L204" s="55">
        <v>349.5</v>
      </c>
      <c r="M204" s="56">
        <v>48</v>
      </c>
      <c r="N204" s="62">
        <v>566057.97</v>
      </c>
      <c r="O204" s="55">
        <v>0</v>
      </c>
      <c r="P204" s="63">
        <v>0</v>
      </c>
      <c r="Q204" s="63">
        <v>0</v>
      </c>
      <c r="R204" s="63">
        <v>566057.97</v>
      </c>
      <c r="S204" s="63"/>
      <c r="T204" s="63">
        <v>0</v>
      </c>
      <c r="U204" s="63">
        <v>483.785421260448</v>
      </c>
      <c r="V204" s="63">
        <v>483.785421260448</v>
      </c>
      <c r="W204" s="59">
        <v>2022</v>
      </c>
      <c r="X204" s="6"/>
      <c r="Z204" s="74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75"/>
      <c r="AO204" s="75"/>
      <c r="AP204" s="61">
        <f>+N204-'Приложение №2'!E204</f>
        <v>0</v>
      </c>
      <c r="AT204" s="6">
        <f t="shared" si="61"/>
        <v>0</v>
      </c>
      <c r="AW204" s="62">
        <f t="shared" si="56"/>
        <v>566057.97</v>
      </c>
      <c r="AX204" s="55"/>
      <c r="AY204" s="55"/>
      <c r="AZ204" s="55"/>
      <c r="BA204" s="55"/>
      <c r="BB204" s="55"/>
      <c r="BC204" s="55"/>
      <c r="BD204" s="55"/>
      <c r="BE204" s="55"/>
      <c r="BF204" s="55">
        <v>194953.44</v>
      </c>
      <c r="BG204" s="55"/>
      <c r="BH204" s="55">
        <v>371104.53</v>
      </c>
      <c r="BI204" s="55"/>
      <c r="BJ204" s="55"/>
      <c r="BK204" s="55"/>
      <c r="BL204" s="76"/>
      <c r="BM204" s="8">
        <f t="shared" si="57"/>
        <v>566057.97</v>
      </c>
      <c r="BN204" s="55"/>
      <c r="BO204" s="55"/>
      <c r="BP204" s="71"/>
      <c r="BQ204" s="55"/>
      <c r="BR204" s="55"/>
      <c r="BS204" s="55"/>
      <c r="BT204" s="55"/>
      <c r="BU204" s="55"/>
      <c r="BV204" s="55">
        <v>194953.44</v>
      </c>
      <c r="BW204" s="55"/>
      <c r="BX204" s="55">
        <v>371104.53</v>
      </c>
      <c r="BY204" s="55"/>
      <c r="BZ204" s="55"/>
      <c r="CA204" s="55"/>
      <c r="CB204" s="55"/>
    </row>
    <row r="205" spans="1:152" x14ac:dyDescent="0.25">
      <c r="A205" s="52">
        <f t="shared" si="58"/>
        <v>188</v>
      </c>
      <c r="B205" s="53">
        <f t="shared" si="59"/>
        <v>188</v>
      </c>
      <c r="C205" s="1" t="s">
        <v>293</v>
      </c>
      <c r="D205" s="53" t="s">
        <v>296</v>
      </c>
      <c r="E205" s="54" t="s">
        <v>297</v>
      </c>
      <c r="F205" s="54"/>
      <c r="G205" s="54" t="s">
        <v>64</v>
      </c>
      <c r="H205" s="54" t="s">
        <v>145</v>
      </c>
      <c r="I205" s="54" t="s">
        <v>229</v>
      </c>
      <c r="J205" s="55">
        <v>819.9</v>
      </c>
      <c r="K205" s="55">
        <v>649</v>
      </c>
      <c r="L205" s="55">
        <v>0</v>
      </c>
      <c r="M205" s="56">
        <v>30</v>
      </c>
      <c r="N205" s="62">
        <v>10770762.300000001</v>
      </c>
      <c r="O205" s="55">
        <v>0</v>
      </c>
      <c r="P205" s="63">
        <v>0</v>
      </c>
      <c r="Q205" s="63">
        <v>0</v>
      </c>
      <c r="R205" s="63">
        <v>10770762.300000001</v>
      </c>
      <c r="S205" s="63"/>
      <c r="T205" s="63">
        <v>0</v>
      </c>
      <c r="U205" s="63">
        <v>16595.935747303502</v>
      </c>
      <c r="V205" s="63">
        <v>16595.935747303502</v>
      </c>
      <c r="W205" s="59">
        <v>2022</v>
      </c>
      <c r="X205" s="6"/>
      <c r="Z205" s="74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75"/>
      <c r="AO205" s="75"/>
      <c r="AP205" s="61">
        <f>+N205-'Приложение №2'!E205</f>
        <v>0</v>
      </c>
      <c r="AT205" s="6">
        <f t="shared" si="61"/>
        <v>0</v>
      </c>
      <c r="AW205" s="77">
        <f t="shared" si="56"/>
        <v>10770762.300000001</v>
      </c>
      <c r="AX205" s="78"/>
      <c r="AY205" s="78"/>
      <c r="AZ205" s="78"/>
      <c r="BA205" s="78"/>
      <c r="BB205" s="78"/>
      <c r="BC205" s="78"/>
      <c r="BD205" s="78"/>
      <c r="BE205" s="78"/>
      <c r="BF205" s="78">
        <v>5195058.41</v>
      </c>
      <c r="BG205" s="78"/>
      <c r="BH205" s="78">
        <v>5575703.8899999997</v>
      </c>
      <c r="BI205" s="78"/>
      <c r="BJ205" s="78"/>
      <c r="BK205" s="78"/>
      <c r="BL205" s="79"/>
      <c r="BM205" s="80">
        <f t="shared" si="57"/>
        <v>10770762.300000001</v>
      </c>
      <c r="BN205" s="78"/>
      <c r="BO205" s="78"/>
      <c r="BP205" s="81"/>
      <c r="BQ205" s="78"/>
      <c r="BR205" s="78"/>
      <c r="BS205" s="78"/>
      <c r="BT205" s="78"/>
      <c r="BU205" s="78"/>
      <c r="BV205" s="78">
        <v>5195058.41</v>
      </c>
      <c r="BW205" s="78"/>
      <c r="BX205" s="78">
        <v>5575703.8899999997</v>
      </c>
      <c r="BY205" s="78"/>
      <c r="BZ205" s="78"/>
      <c r="CA205" s="78"/>
      <c r="CB205" s="78"/>
    </row>
    <row r="206" spans="1:152" x14ac:dyDescent="0.25">
      <c r="A206" s="82"/>
      <c r="B206" s="82"/>
      <c r="C206" s="82"/>
      <c r="D206" s="26">
        <v>2023</v>
      </c>
      <c r="E206" s="83"/>
      <c r="F206" s="83"/>
      <c r="G206" s="83"/>
      <c r="H206" s="83"/>
      <c r="I206" s="83"/>
      <c r="J206" s="84">
        <f t="shared" ref="J206:T206" si="62">J207+J380</f>
        <v>893514.67999999993</v>
      </c>
      <c r="K206" s="84">
        <f t="shared" si="62"/>
        <v>743118.53999999992</v>
      </c>
      <c r="L206" s="84">
        <f t="shared" si="62"/>
        <v>43982.530000000006</v>
      </c>
      <c r="M206" s="84">
        <f t="shared" si="62"/>
        <v>31855</v>
      </c>
      <c r="N206" s="84">
        <f t="shared" si="62"/>
        <v>2485408477.3564501</v>
      </c>
      <c r="O206" s="84">
        <f t="shared" si="62"/>
        <v>0</v>
      </c>
      <c r="P206" s="84">
        <f t="shared" si="62"/>
        <v>749983518.60195601</v>
      </c>
      <c r="Q206" s="84">
        <f t="shared" si="62"/>
        <v>7110772</v>
      </c>
      <c r="R206" s="84">
        <f t="shared" si="62"/>
        <v>377130255.5410462</v>
      </c>
      <c r="S206" s="84">
        <f t="shared" si="62"/>
        <v>1257833879.6634486</v>
      </c>
      <c r="T206" s="85">
        <f t="shared" si="62"/>
        <v>93350051.549999997</v>
      </c>
      <c r="U206" s="86"/>
      <c r="V206" s="86"/>
      <c r="W206" s="87"/>
      <c r="X206" s="6"/>
      <c r="Z206" s="74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75"/>
      <c r="AO206" s="75"/>
      <c r="AP206" s="61"/>
      <c r="AT206" s="6"/>
      <c r="AW206" s="77"/>
      <c r="AX206" s="78"/>
      <c r="AY206" s="78"/>
      <c r="AZ206" s="78"/>
      <c r="BA206" s="78"/>
      <c r="BB206" s="78"/>
      <c r="BC206" s="78"/>
      <c r="BD206" s="78"/>
      <c r="BE206" s="78"/>
      <c r="BF206" s="78"/>
      <c r="BG206" s="78"/>
      <c r="BH206" s="78"/>
      <c r="BI206" s="78"/>
      <c r="BJ206" s="78"/>
      <c r="BK206" s="78"/>
      <c r="BL206" s="79"/>
      <c r="BM206" s="80"/>
      <c r="BN206" s="78"/>
      <c r="BO206" s="78"/>
      <c r="BP206" s="81"/>
      <c r="BQ206" s="78"/>
      <c r="BR206" s="78"/>
      <c r="BS206" s="78"/>
      <c r="BT206" s="78"/>
      <c r="BU206" s="78"/>
      <c r="BV206" s="78"/>
      <c r="BW206" s="78"/>
      <c r="BX206" s="78"/>
      <c r="BY206" s="78"/>
      <c r="BZ206" s="78"/>
      <c r="CA206" s="78"/>
      <c r="CB206" s="78"/>
    </row>
    <row r="207" spans="1:152" s="82" customFormat="1" x14ac:dyDescent="0.25">
      <c r="A207" s="88"/>
      <c r="B207" s="88"/>
      <c r="C207" s="89"/>
      <c r="D207" s="90" t="s">
        <v>298</v>
      </c>
      <c r="E207" s="91"/>
      <c r="F207" s="91"/>
      <c r="G207" s="91"/>
      <c r="H207" s="91"/>
      <c r="I207" s="91"/>
      <c r="J207" s="92">
        <f>SUM(J208:J379)</f>
        <v>656540.66999999993</v>
      </c>
      <c r="K207" s="92">
        <f>SUM(K208:K379)</f>
        <v>543160.25</v>
      </c>
      <c r="L207" s="92">
        <f>SUM(L208:L379)</f>
        <v>34751.310000000005</v>
      </c>
      <c r="M207" s="92">
        <f>SUM(M208:M379)</f>
        <v>23397</v>
      </c>
      <c r="N207" s="93">
        <f>SUM(N208:N379)</f>
        <v>1669740958.0239837</v>
      </c>
      <c r="O207" s="93">
        <v>0</v>
      </c>
      <c r="P207" s="93">
        <f>SUM(P208:P379)</f>
        <v>442625761.60067046</v>
      </c>
      <c r="Q207" s="93">
        <f>SUM(Q208:Q379)</f>
        <v>4063638.64</v>
      </c>
      <c r="R207" s="93">
        <f>SUM(R208:R379)</f>
        <v>263658268.13850805</v>
      </c>
      <c r="S207" s="93">
        <f>SUM(S208:S379)</f>
        <v>894043238.09480572</v>
      </c>
      <c r="T207" s="94">
        <f>SUM(T208:T379)</f>
        <v>65350051.549999997</v>
      </c>
      <c r="U207" s="95"/>
      <c r="V207" s="95"/>
      <c r="W207" s="96"/>
      <c r="X207" s="97"/>
      <c r="Z207" s="98"/>
      <c r="AA207" s="97"/>
      <c r="AB207" s="97"/>
      <c r="AC207" s="97"/>
      <c r="AD207" s="97"/>
      <c r="AE207" s="97"/>
      <c r="AF207" s="97"/>
      <c r="AG207" s="97"/>
      <c r="AH207" s="97"/>
      <c r="AI207" s="97"/>
      <c r="AJ207" s="97"/>
      <c r="AK207" s="97"/>
      <c r="AL207" s="97"/>
      <c r="AM207" s="97"/>
      <c r="AN207" s="99"/>
      <c r="AO207" s="99"/>
      <c r="AP207" s="100">
        <f>+N207-'Приложение №2'!E207</f>
        <v>1.1436939239501953E-3</v>
      </c>
      <c r="AR207" s="101"/>
      <c r="AS207" s="101"/>
      <c r="AT207" s="97">
        <f>+P207+Q207+R207+S207+T207-'Приложение №2'!E207</f>
        <v>1.1441707611083984E-3</v>
      </c>
      <c r="AW207" s="102">
        <f>SUM(AX207:BL207)</f>
        <v>2934635444.3719854</v>
      </c>
      <c r="AX207" s="85">
        <f t="shared" ref="AX207:BL207" si="63">SUM(AX208:AX376)</f>
        <v>467684436.89195198</v>
      </c>
      <c r="AY207" s="85">
        <f t="shared" si="63"/>
        <v>153800288.24093041</v>
      </c>
      <c r="AZ207" s="85">
        <f t="shared" si="63"/>
        <v>222921858.38291654</v>
      </c>
      <c r="BA207" s="85">
        <f t="shared" si="63"/>
        <v>135016701.04765344</v>
      </c>
      <c r="BB207" s="85">
        <f t="shared" si="63"/>
        <v>22814777.362083185</v>
      </c>
      <c r="BC207" s="85">
        <f t="shared" si="63"/>
        <v>0</v>
      </c>
      <c r="BD207" s="85">
        <f t="shared" si="63"/>
        <v>14721472.673484139</v>
      </c>
      <c r="BE207" s="85">
        <f t="shared" si="63"/>
        <v>55387763.957508564</v>
      </c>
      <c r="BF207" s="85">
        <f t="shared" si="63"/>
        <v>634674495.98109317</v>
      </c>
      <c r="BG207" s="85">
        <f t="shared" si="63"/>
        <v>34044696.739999995</v>
      </c>
      <c r="BH207" s="85">
        <f t="shared" si="63"/>
        <v>575913624.93836427</v>
      </c>
      <c r="BI207" s="85">
        <f t="shared" si="63"/>
        <v>461045314.02582657</v>
      </c>
      <c r="BJ207" s="85">
        <f t="shared" si="63"/>
        <v>66317150.551566191</v>
      </c>
      <c r="BK207" s="85">
        <f t="shared" si="63"/>
        <v>5808162.7897811402</v>
      </c>
      <c r="BL207" s="103">
        <f t="shared" si="63"/>
        <v>84484700.788826212</v>
      </c>
      <c r="BM207" s="104">
        <f>SUM(BN207:CB207)</f>
        <v>2585857521.7804742</v>
      </c>
      <c r="BN207" s="85">
        <f t="shared" ref="BN207:CB207" si="64">SUM(BN208:BN376)</f>
        <v>408171731.54578692</v>
      </c>
      <c r="BO207" s="85">
        <f t="shared" si="64"/>
        <v>131793571.28521027</v>
      </c>
      <c r="BP207" s="85">
        <f t="shared" si="64"/>
        <v>190957041.03607842</v>
      </c>
      <c r="BQ207" s="85">
        <f t="shared" si="64"/>
        <v>123740709.05200832</v>
      </c>
      <c r="BR207" s="85">
        <f t="shared" si="64"/>
        <v>22599021.722083181</v>
      </c>
      <c r="BS207" s="85">
        <f t="shared" si="64"/>
        <v>0</v>
      </c>
      <c r="BT207" s="85">
        <f t="shared" si="64"/>
        <v>14834126.474419219</v>
      </c>
      <c r="BU207" s="85">
        <f t="shared" si="64"/>
        <v>55387763.957508564</v>
      </c>
      <c r="BV207" s="85">
        <f t="shared" si="64"/>
        <v>503614667.1439209</v>
      </c>
      <c r="BW207" s="85">
        <f t="shared" si="64"/>
        <v>33477025.279999997</v>
      </c>
      <c r="BX207" s="85">
        <f t="shared" si="64"/>
        <v>539965639.63780904</v>
      </c>
      <c r="BY207" s="85">
        <f t="shared" si="64"/>
        <v>404533981.49547642</v>
      </c>
      <c r="BZ207" s="85">
        <f t="shared" si="64"/>
        <v>66489379.571566194</v>
      </c>
      <c r="CA207" s="85">
        <f t="shared" si="64"/>
        <v>5808162.7897811402</v>
      </c>
      <c r="CB207" s="85">
        <f t="shared" si="64"/>
        <v>84484700.788826212</v>
      </c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</row>
    <row r="208" spans="1:152" x14ac:dyDescent="0.25">
      <c r="A208" s="105">
        <f>+A205+1</f>
        <v>189</v>
      </c>
      <c r="B208" s="106">
        <v>1</v>
      </c>
      <c r="C208" s="107" t="s">
        <v>299</v>
      </c>
      <c r="D208" s="107" t="s">
        <v>300</v>
      </c>
      <c r="E208" s="54">
        <v>1993</v>
      </c>
      <c r="F208" s="54">
        <v>2013</v>
      </c>
      <c r="G208" s="54" t="s">
        <v>64</v>
      </c>
      <c r="H208" s="54">
        <v>9</v>
      </c>
      <c r="I208" s="54">
        <v>1</v>
      </c>
      <c r="J208" s="55">
        <v>4027.7</v>
      </c>
      <c r="K208" s="55">
        <v>2671.9</v>
      </c>
      <c r="L208" s="55">
        <v>0</v>
      </c>
      <c r="M208" s="56">
        <v>88</v>
      </c>
      <c r="N208" s="108">
        <f t="shared" ref="N208:N239" si="65">+P208+Q208+R208+S208+T208</f>
        <v>5500477.4800000004</v>
      </c>
      <c r="O208" s="63"/>
      <c r="P208" s="63">
        <v>951459.54000000097</v>
      </c>
      <c r="Q208" s="63"/>
      <c r="R208" s="63">
        <v>1171287.68</v>
      </c>
      <c r="S208" s="63">
        <v>3377730.26</v>
      </c>
      <c r="T208" s="63">
        <v>0</v>
      </c>
      <c r="U208" s="63">
        <v>2058.6389775380198</v>
      </c>
      <c r="V208" s="63">
        <v>1174.2830200640001</v>
      </c>
      <c r="W208" s="109">
        <v>2023</v>
      </c>
      <c r="X208" s="6" t="e">
        <v>#REF!</v>
      </c>
      <c r="Z208" s="62">
        <f>SUM(AA208:AO208)</f>
        <v>5182418.4879168021</v>
      </c>
      <c r="AA208" s="55">
        <v>0</v>
      </c>
      <c r="AB208" s="55">
        <v>0</v>
      </c>
      <c r="AC208" s="55">
        <v>0</v>
      </c>
      <c r="AD208" s="55">
        <v>0</v>
      </c>
      <c r="AE208" s="55">
        <v>0</v>
      </c>
      <c r="AF208" s="55"/>
      <c r="AG208" s="55">
        <v>0</v>
      </c>
      <c r="AH208" s="55">
        <v>0</v>
      </c>
      <c r="AI208" s="55">
        <v>0</v>
      </c>
      <c r="AJ208" s="55">
        <v>4513648.1117250901</v>
      </c>
      <c r="AK208" s="55">
        <v>0</v>
      </c>
      <c r="AL208" s="55">
        <v>0</v>
      </c>
      <c r="AM208" s="55">
        <v>518241.84879168001</v>
      </c>
      <c r="AN208" s="63">
        <v>51824.184879168002</v>
      </c>
      <c r="AO208" s="64">
        <v>98704.3425208634</v>
      </c>
      <c r="AP208" s="61">
        <f>+N208-'Приложение №2'!E208</f>
        <v>-4.0838262066245079E-3</v>
      </c>
      <c r="AQ208" s="1">
        <f>1985654.28-830510.88</f>
        <v>1155143.3999999999</v>
      </c>
      <c r="AR208" s="3">
        <f>+(K208*13.95+L208*23.65)*12*0.85</f>
        <v>380184.65099999995</v>
      </c>
      <c r="AS208" s="3">
        <f>+(K208*13.95+L208*23.65)*12*30-2624808.09</f>
        <v>10793473.709999999</v>
      </c>
      <c r="AT208" s="6">
        <f t="shared" ref="AT208:AT239" si="66">+S208-AS208</f>
        <v>-7415743.4499999993</v>
      </c>
      <c r="AU208" s="6" t="e">
        <v>#REF!</v>
      </c>
      <c r="AV208" s="6" t="e">
        <v>#REF!</v>
      </c>
      <c r="AW208" s="110">
        <f t="shared" ref="AW208:AW239" si="67">SUBTOTAL(9, AX208:BL208)</f>
        <v>5500477.4840838267</v>
      </c>
      <c r="AX208" s="55">
        <v>0</v>
      </c>
      <c r="AY208" s="55">
        <v>0</v>
      </c>
      <c r="AZ208" s="55">
        <v>0</v>
      </c>
      <c r="BA208" s="55">
        <v>0</v>
      </c>
      <c r="BB208" s="55">
        <v>0</v>
      </c>
      <c r="BC208" s="55"/>
      <c r="BD208" s="55"/>
      <c r="BE208" s="55">
        <v>0</v>
      </c>
      <c r="BF208" s="55"/>
      <c r="BG208" s="55">
        <v>5403128.5</v>
      </c>
      <c r="BH208" s="55">
        <v>0</v>
      </c>
      <c r="BI208" s="55">
        <v>0</v>
      </c>
      <c r="BJ208" s="55"/>
      <c r="BK208" s="63"/>
      <c r="BL208" s="111">
        <v>97348.984083826697</v>
      </c>
      <c r="BM208" s="110">
        <f t="shared" ref="BM208:BM239" si="68">SUBTOTAL(9, BN208:CB208)</f>
        <v>5500477.4840838267</v>
      </c>
      <c r="BN208" s="55">
        <v>0</v>
      </c>
      <c r="BO208" s="55">
        <v>0</v>
      </c>
      <c r="BP208" s="55">
        <v>0</v>
      </c>
      <c r="BQ208" s="55">
        <v>0</v>
      </c>
      <c r="BR208" s="55">
        <v>0</v>
      </c>
      <c r="BS208" s="55"/>
      <c r="BT208" s="55"/>
      <c r="BU208" s="55">
        <v>0</v>
      </c>
      <c r="BV208" s="55"/>
      <c r="BW208" s="55">
        <v>5403128.5</v>
      </c>
      <c r="BX208" s="55">
        <v>0</v>
      </c>
      <c r="BY208" s="55">
        <v>0</v>
      </c>
      <c r="BZ208" s="55"/>
      <c r="CA208" s="63"/>
      <c r="CB208" s="64">
        <v>97348.984083826697</v>
      </c>
      <c r="CD208" s="6"/>
    </row>
    <row r="209" spans="1:84" x14ac:dyDescent="0.25">
      <c r="A209" s="105">
        <v>190</v>
      </c>
      <c r="B209" s="106">
        <v>2</v>
      </c>
      <c r="C209" s="107" t="s">
        <v>299</v>
      </c>
      <c r="D209" s="107" t="s">
        <v>301</v>
      </c>
      <c r="E209" s="54">
        <v>1993</v>
      </c>
      <c r="F209" s="54">
        <v>2013</v>
      </c>
      <c r="G209" s="54" t="s">
        <v>64</v>
      </c>
      <c r="H209" s="54">
        <v>9</v>
      </c>
      <c r="I209" s="54">
        <v>1</v>
      </c>
      <c r="J209" s="55">
        <v>4065.2</v>
      </c>
      <c r="K209" s="55">
        <v>2714.9</v>
      </c>
      <c r="L209" s="55">
        <v>0</v>
      </c>
      <c r="M209" s="56">
        <v>97</v>
      </c>
      <c r="N209" s="108">
        <f t="shared" si="65"/>
        <v>6440513.7949999999</v>
      </c>
      <c r="O209" s="63"/>
      <c r="P209" s="63">
        <v>1451368.66</v>
      </c>
      <c r="Q209" s="63"/>
      <c r="R209" s="63">
        <v>589325.32999999996</v>
      </c>
      <c r="S209" s="63">
        <v>4399819.8049999997</v>
      </c>
      <c r="T209" s="63">
        <v>0</v>
      </c>
      <c r="U209" s="63">
        <v>2372.2839868690298</v>
      </c>
      <c r="V209" s="63">
        <v>1175.2830200640001</v>
      </c>
      <c r="W209" s="109">
        <v>2023</v>
      </c>
      <c r="X209" s="6" t="e">
        <v>#REF!</v>
      </c>
      <c r="Z209" s="62">
        <f>SUM(AA209:AO209)</f>
        <v>7671098.7621156108</v>
      </c>
      <c r="AA209" s="55">
        <v>0</v>
      </c>
      <c r="AB209" s="55">
        <v>0</v>
      </c>
      <c r="AC209" s="55">
        <v>0</v>
      </c>
      <c r="AD209" s="55">
        <v>0</v>
      </c>
      <c r="AE209" s="55">
        <v>0</v>
      </c>
      <c r="AF209" s="55"/>
      <c r="AG209" s="55">
        <v>0</v>
      </c>
      <c r="AH209" s="55">
        <v>0</v>
      </c>
      <c r="AI209" s="55">
        <v>0</v>
      </c>
      <c r="AJ209" s="55">
        <v>4524977.6333963899</v>
      </c>
      <c r="AK209" s="55"/>
      <c r="AL209" s="55">
        <v>0</v>
      </c>
      <c r="AM209" s="55">
        <v>2437984.2294369601</v>
      </c>
      <c r="AN209" s="63">
        <v>243798.422943696</v>
      </c>
      <c r="AO209" s="64">
        <v>464338.47633856401</v>
      </c>
      <c r="AP209" s="61">
        <f>+N209-'Приложение №2'!E209</f>
        <v>-9.5072202384471893E-4</v>
      </c>
      <c r="AQ209" s="1">
        <f>2036159.03-955818.8-238954.7-238954.7008</f>
        <v>602430.82920000004</v>
      </c>
      <c r="AR209" s="3">
        <f>+(K209*13.95+L209*23.65)*12*0.85</f>
        <v>386303.12099999993</v>
      </c>
      <c r="AS209" s="3">
        <f>+(K209*13.95+L209*23.65)*12*30-785411.714-946514.09-915077.42</f>
        <v>10987224.575999999</v>
      </c>
      <c r="AT209" s="6">
        <f t="shared" si="66"/>
        <v>-6587404.7709999997</v>
      </c>
      <c r="AU209" s="6" t="e">
        <v>#REF!</v>
      </c>
      <c r="AV209" s="6" t="e">
        <v>#REF!</v>
      </c>
      <c r="AW209" s="110">
        <f t="shared" si="67"/>
        <v>6440513.7959507219</v>
      </c>
      <c r="AX209" s="55">
        <v>0</v>
      </c>
      <c r="AY209" s="55">
        <v>0</v>
      </c>
      <c r="AZ209" s="55">
        <v>0</v>
      </c>
      <c r="BA209" s="55">
        <v>0</v>
      </c>
      <c r="BB209" s="55">
        <v>0</v>
      </c>
      <c r="BC209" s="55"/>
      <c r="BD209" s="55"/>
      <c r="BE209" s="55">
        <v>0</v>
      </c>
      <c r="BF209" s="55">
        <v>0</v>
      </c>
      <c r="BG209" s="55">
        <v>5976346.29</v>
      </c>
      <c r="BH209" s="55"/>
      <c r="BI209" s="55">
        <v>0</v>
      </c>
      <c r="BJ209" s="55"/>
      <c r="BK209" s="63"/>
      <c r="BL209" s="111">
        <v>464167.50595072203</v>
      </c>
      <c r="BM209" s="110">
        <f t="shared" si="68"/>
        <v>6440513.7959507219</v>
      </c>
      <c r="BN209" s="55">
        <v>0</v>
      </c>
      <c r="BO209" s="55">
        <v>0</v>
      </c>
      <c r="BP209" s="55">
        <v>0</v>
      </c>
      <c r="BQ209" s="55">
        <v>0</v>
      </c>
      <c r="BR209" s="55">
        <v>0</v>
      </c>
      <c r="BS209" s="55"/>
      <c r="BT209" s="55"/>
      <c r="BU209" s="55">
        <v>0</v>
      </c>
      <c r="BV209" s="55">
        <v>0</v>
      </c>
      <c r="BW209" s="55">
        <v>5976346.29</v>
      </c>
      <c r="BX209" s="55"/>
      <c r="BY209" s="55">
        <v>0</v>
      </c>
      <c r="BZ209" s="55"/>
      <c r="CA209" s="63"/>
      <c r="CB209" s="64">
        <v>464167.50595072203</v>
      </c>
      <c r="CD209" s="6"/>
    </row>
    <row r="210" spans="1:84" x14ac:dyDescent="0.25">
      <c r="A210" s="105">
        <v>191</v>
      </c>
      <c r="B210" s="106">
        <v>3</v>
      </c>
      <c r="C210" s="53" t="s">
        <v>299</v>
      </c>
      <c r="D210" s="53" t="s">
        <v>302</v>
      </c>
      <c r="E210" s="54">
        <v>1997</v>
      </c>
      <c r="F210" s="54">
        <v>2013</v>
      </c>
      <c r="G210" s="54" t="s">
        <v>64</v>
      </c>
      <c r="H210" s="54">
        <v>3</v>
      </c>
      <c r="I210" s="54">
        <v>3</v>
      </c>
      <c r="J210" s="55">
        <v>2554.6999999999998</v>
      </c>
      <c r="K210" s="55">
        <v>1158.4000000000001</v>
      </c>
      <c r="L210" s="55">
        <v>157.9</v>
      </c>
      <c r="M210" s="56">
        <v>40</v>
      </c>
      <c r="N210" s="112">
        <f t="shared" si="65"/>
        <v>1437261.42</v>
      </c>
      <c r="O210" s="55"/>
      <c r="P210" s="55"/>
      <c r="Q210" s="55"/>
      <c r="R210" s="55">
        <v>1437261.42</v>
      </c>
      <c r="S210" s="55"/>
      <c r="T210" s="55">
        <v>0</v>
      </c>
      <c r="U210" s="55">
        <v>9006.8294081896202</v>
      </c>
      <c r="V210" s="55">
        <v>9006.8294081896202</v>
      </c>
      <c r="W210" s="109">
        <v>2023</v>
      </c>
      <c r="X210" s="6" t="e">
        <v>#REF!</v>
      </c>
      <c r="Z210" s="57">
        <f>SUM(AA210:AO210)</f>
        <v>50522516.669999957</v>
      </c>
      <c r="AA210" s="55">
        <v>5373102.4124122802</v>
      </c>
      <c r="AB210" s="55">
        <v>2799379.0984185599</v>
      </c>
      <c r="AC210" s="55">
        <v>1158345.46972326</v>
      </c>
      <c r="AD210" s="55">
        <v>601928.63075688004</v>
      </c>
      <c r="AE210" s="55">
        <v>0</v>
      </c>
      <c r="AF210" s="55"/>
      <c r="AG210" s="55">
        <v>439165.68767148</v>
      </c>
      <c r="AH210" s="55">
        <v>0</v>
      </c>
      <c r="AI210" s="55">
        <v>12048310.589364</v>
      </c>
      <c r="AJ210" s="55">
        <v>4856893.85457318</v>
      </c>
      <c r="AK210" s="55">
        <v>13999412.949791601</v>
      </c>
      <c r="AL210" s="55">
        <v>2997543.6040317598</v>
      </c>
      <c r="AM210" s="55">
        <v>4775024.6968999999</v>
      </c>
      <c r="AN210" s="55">
        <v>505225.1667</v>
      </c>
      <c r="AO210" s="60">
        <v>968184.50965696003</v>
      </c>
      <c r="AP210" s="61">
        <f>+N210-'Приложение №2'!E210</f>
        <v>0</v>
      </c>
      <c r="AQ210" s="1">
        <v>739157.71</v>
      </c>
      <c r="AR210" s="3">
        <f>+(K210*10+L210*20)*12*0.85</f>
        <v>150368.4</v>
      </c>
      <c r="AS210" s="3">
        <f>+(K210*10+L210*20)*12*30</f>
        <v>5307120</v>
      </c>
      <c r="AT210" s="6">
        <f t="shared" si="66"/>
        <v>-5307120</v>
      </c>
      <c r="AU210" s="6" t="e">
        <v>#REF!</v>
      </c>
      <c r="AV210" s="6" t="e">
        <v>#REF!</v>
      </c>
      <c r="AW210" s="62">
        <f t="shared" si="67"/>
        <v>11855689.549999999</v>
      </c>
      <c r="AX210" s="55"/>
      <c r="AY210" s="55"/>
      <c r="AZ210" s="55">
        <v>647925.87</v>
      </c>
      <c r="BA210" s="55"/>
      <c r="BB210" s="55">
        <v>0</v>
      </c>
      <c r="BC210" s="55"/>
      <c r="BD210" s="55"/>
      <c r="BE210" s="55">
        <v>0</v>
      </c>
      <c r="BF210" s="55">
        <v>4272787.71</v>
      </c>
      <c r="BG210" s="55"/>
      <c r="BH210" s="55">
        <v>5939807.0499999998</v>
      </c>
      <c r="BI210" s="55"/>
      <c r="BJ210" s="55"/>
      <c r="BK210" s="63"/>
      <c r="BL210" s="111">
        <v>995168.92</v>
      </c>
      <c r="BM210" s="62">
        <f t="shared" si="68"/>
        <v>11855689.549999999</v>
      </c>
      <c r="BN210" s="55"/>
      <c r="BO210" s="55"/>
      <c r="BP210" s="55">
        <v>647925.87</v>
      </c>
      <c r="BQ210" s="55"/>
      <c r="BR210" s="55">
        <v>0</v>
      </c>
      <c r="BS210" s="55"/>
      <c r="BT210" s="55"/>
      <c r="BU210" s="55">
        <v>0</v>
      </c>
      <c r="BV210" s="55">
        <v>4272787.71</v>
      </c>
      <c r="BW210" s="55"/>
      <c r="BX210" s="55">
        <v>5939807.0499999998</v>
      </c>
      <c r="BY210" s="55"/>
      <c r="BZ210" s="55"/>
      <c r="CA210" s="63"/>
      <c r="CB210" s="63">
        <v>995168.92</v>
      </c>
    </row>
    <row r="211" spans="1:84" s="69" customFormat="1" x14ac:dyDescent="0.25">
      <c r="A211" s="105">
        <f t="shared" ref="A211:A242" si="69">+A210+1</f>
        <v>192</v>
      </c>
      <c r="B211" s="106">
        <v>4</v>
      </c>
      <c r="C211" s="107" t="s">
        <v>62</v>
      </c>
      <c r="D211" s="107" t="s">
        <v>63</v>
      </c>
      <c r="E211" s="54" t="s">
        <v>303</v>
      </c>
      <c r="F211" s="54"/>
      <c r="G211" s="54" t="s">
        <v>64</v>
      </c>
      <c r="H211" s="54" t="s">
        <v>101</v>
      </c>
      <c r="I211" s="54" t="s">
        <v>185</v>
      </c>
      <c r="J211" s="55">
        <v>5474.4</v>
      </c>
      <c r="K211" s="55">
        <v>4591</v>
      </c>
      <c r="L211" s="55">
        <v>74.8</v>
      </c>
      <c r="M211" s="56">
        <v>142</v>
      </c>
      <c r="N211" s="108">
        <f t="shared" si="65"/>
        <v>4673123.5130000012</v>
      </c>
      <c r="O211" s="63">
        <v>0</v>
      </c>
      <c r="P211" s="63">
        <v>3054635.8</v>
      </c>
      <c r="Q211" s="63">
        <v>0</v>
      </c>
      <c r="R211" s="63">
        <v>732511.62000000104</v>
      </c>
      <c r="S211" s="63">
        <v>885976.09299999999</v>
      </c>
      <c r="T211" s="113">
        <v>0</v>
      </c>
      <c r="U211" s="55">
        <v>1076.31151479542</v>
      </c>
      <c r="V211" s="55">
        <v>1076.31151479542</v>
      </c>
      <c r="W211" s="109">
        <v>2023</v>
      </c>
      <c r="X211" s="69">
        <v>1911755.57</v>
      </c>
      <c r="Y211" s="69">
        <f>+(K211*9.1+L211*18.19)*12</f>
        <v>517664.54399999999</v>
      </c>
      <c r="AA211" s="70" t="e">
        <v>#REF!</v>
      </c>
      <c r="AD211" s="70" t="e">
        <v>#REF!</v>
      </c>
      <c r="AP211" s="61">
        <f>+N211-'Приложение №2'!E211</f>
        <v>-6.1419233679771423E-4</v>
      </c>
      <c r="AQ211" s="114">
        <f>2359832.72-R18</f>
        <v>-343147.54946667003</v>
      </c>
      <c r="AR211" s="3">
        <f>+(K211*10+L211*20)*12*0.85</f>
        <v>483541.2</v>
      </c>
      <c r="AS211" s="3">
        <f>+(K211*10+L211*20)*12*30-S18</f>
        <v>-4053688.4800000004</v>
      </c>
      <c r="AT211" s="6">
        <f t="shared" si="66"/>
        <v>4939664.5730000008</v>
      </c>
      <c r="AU211" s="6" t="e">
        <v>#REF!</v>
      </c>
      <c r="AV211" s="6" t="e">
        <v>#REF!</v>
      </c>
      <c r="AW211" s="62">
        <f t="shared" si="67"/>
        <v>5021854.2657324737</v>
      </c>
      <c r="AX211" s="55"/>
      <c r="AY211" s="55"/>
      <c r="AZ211" s="55">
        <v>3532583.6821182799</v>
      </c>
      <c r="BA211" s="55">
        <v>0</v>
      </c>
      <c r="BB211" s="55">
        <v>0</v>
      </c>
      <c r="BC211" s="55"/>
      <c r="BD211" s="55">
        <v>0</v>
      </c>
      <c r="BE211" s="55">
        <v>0</v>
      </c>
      <c r="BF211" s="55">
        <v>0</v>
      </c>
      <c r="BG211" s="55">
        <v>0</v>
      </c>
      <c r="BH211" s="55"/>
      <c r="BI211" s="55"/>
      <c r="BJ211" s="55">
        <v>840138.45</v>
      </c>
      <c r="BK211" s="63"/>
      <c r="BL211" s="111">
        <v>649132.133614194</v>
      </c>
      <c r="BM211" s="62">
        <f t="shared" si="68"/>
        <v>5251524.1436141934</v>
      </c>
      <c r="BN211" s="55"/>
      <c r="BO211" s="55"/>
      <c r="BP211" s="55">
        <v>3762253.56</v>
      </c>
      <c r="BQ211" s="55">
        <v>0</v>
      </c>
      <c r="BR211" s="55">
        <v>0</v>
      </c>
      <c r="BS211" s="55"/>
      <c r="BT211" s="55">
        <v>0</v>
      </c>
      <c r="BU211" s="55">
        <v>0</v>
      </c>
      <c r="BV211" s="55">
        <v>0</v>
      </c>
      <c r="BW211" s="55">
        <v>0</v>
      </c>
      <c r="BX211" s="55"/>
      <c r="BY211" s="55"/>
      <c r="BZ211" s="55">
        <v>840138.45</v>
      </c>
      <c r="CA211" s="63"/>
      <c r="CB211" s="64">
        <v>649132.133614194</v>
      </c>
      <c r="CD211" s="115"/>
      <c r="CE211" s="116"/>
      <c r="CF211" s="116"/>
    </row>
    <row r="212" spans="1:84" s="69" customFormat="1" ht="15" customHeight="1" x14ac:dyDescent="0.25">
      <c r="A212" s="105">
        <f t="shared" si="69"/>
        <v>193</v>
      </c>
      <c r="B212" s="106">
        <v>5</v>
      </c>
      <c r="C212" s="107" t="s">
        <v>62</v>
      </c>
      <c r="D212" s="107" t="s">
        <v>65</v>
      </c>
      <c r="E212" s="54" t="s">
        <v>100</v>
      </c>
      <c r="F212" s="54"/>
      <c r="G212" s="54" t="s">
        <v>64</v>
      </c>
      <c r="H212" s="54" t="s">
        <v>101</v>
      </c>
      <c r="I212" s="54" t="s">
        <v>185</v>
      </c>
      <c r="J212" s="55">
        <v>4657</v>
      </c>
      <c r="K212" s="55">
        <v>4657</v>
      </c>
      <c r="L212" s="55">
        <v>0</v>
      </c>
      <c r="M212" s="56">
        <v>172</v>
      </c>
      <c r="N212" s="108">
        <f t="shared" si="65"/>
        <v>22371955.1138267</v>
      </c>
      <c r="O212" s="63">
        <v>0</v>
      </c>
      <c r="P212" s="63">
        <v>5312507.8</v>
      </c>
      <c r="Q212" s="63">
        <v>0</v>
      </c>
      <c r="R212" s="63">
        <v>1314330.0649999999</v>
      </c>
      <c r="S212" s="63">
        <v>15745117.248826699</v>
      </c>
      <c r="T212" s="63">
        <v>0</v>
      </c>
      <c r="U212" s="55">
        <v>5218.0874569860098</v>
      </c>
      <c r="V212" s="55">
        <v>5218.0874569860098</v>
      </c>
      <c r="W212" s="109">
        <v>2023</v>
      </c>
      <c r="X212" s="69">
        <v>1982772.77</v>
      </c>
      <c r="Y212" s="69">
        <f>+(K212*9.1+L212*18.19)*12</f>
        <v>508544.39999999997</v>
      </c>
      <c r="AA212" s="70" t="e">
        <v>#REF!</v>
      </c>
      <c r="AD212" s="70" t="e">
        <v>#REF!</v>
      </c>
      <c r="AP212" s="61">
        <f>+N212-'Приложение №2'!E212</f>
        <v>5.000036209821701E-3</v>
      </c>
      <c r="AQ212" s="114">
        <f>2457007.84-R19</f>
        <v>-475014</v>
      </c>
      <c r="AR212" s="3">
        <f>+(K212*10+L212*20)*12*0.85</f>
        <v>475014</v>
      </c>
      <c r="AS212" s="3">
        <f>+(K212*10+L212*20)*12*30-S19</f>
        <v>0</v>
      </c>
      <c r="AT212" s="6">
        <f t="shared" si="66"/>
        <v>15745117.248826699</v>
      </c>
      <c r="AU212" s="6" t="e">
        <v>#REF!</v>
      </c>
      <c r="AV212" s="6" t="e">
        <v>#REF!</v>
      </c>
      <c r="AW212" s="62">
        <f t="shared" si="67"/>
        <v>24300633.287183873</v>
      </c>
      <c r="AX212" s="55"/>
      <c r="AY212" s="55"/>
      <c r="AZ212" s="55">
        <v>3525921.00124841</v>
      </c>
      <c r="BA212" s="55">
        <v>0</v>
      </c>
      <c r="BB212" s="55">
        <v>0</v>
      </c>
      <c r="BC212" s="55"/>
      <c r="BD212" s="55">
        <v>0</v>
      </c>
      <c r="BE212" s="55">
        <v>0</v>
      </c>
      <c r="BF212" s="55">
        <v>0</v>
      </c>
      <c r="BG212" s="55">
        <v>0</v>
      </c>
      <c r="BH212" s="55">
        <v>19328224.8471088</v>
      </c>
      <c r="BI212" s="55"/>
      <c r="BJ212" s="55">
        <v>852470.5</v>
      </c>
      <c r="BK212" s="63"/>
      <c r="BL212" s="111">
        <v>594016.93882666505</v>
      </c>
      <c r="BM212" s="62">
        <f t="shared" si="68"/>
        <v>22496625.708826665</v>
      </c>
      <c r="BN212" s="55"/>
      <c r="BO212" s="55"/>
      <c r="BP212" s="55">
        <v>3766305.47</v>
      </c>
      <c r="BQ212" s="55">
        <v>0</v>
      </c>
      <c r="BR212" s="55">
        <v>0</v>
      </c>
      <c r="BS212" s="55"/>
      <c r="BT212" s="55">
        <v>0</v>
      </c>
      <c r="BU212" s="55">
        <v>0</v>
      </c>
      <c r="BV212" s="55">
        <v>0</v>
      </c>
      <c r="BW212" s="55">
        <v>0</v>
      </c>
      <c r="BX212" s="55">
        <v>17283832.800000001</v>
      </c>
      <c r="BY212" s="55"/>
      <c r="BZ212" s="55">
        <v>852470.5</v>
      </c>
      <c r="CA212" s="63"/>
      <c r="CB212" s="64">
        <v>594016.93882666505</v>
      </c>
      <c r="CD212" s="115"/>
      <c r="CE212" s="116"/>
      <c r="CF212" s="116"/>
    </row>
    <row r="213" spans="1:84" s="69" customFormat="1" x14ac:dyDescent="0.25">
      <c r="A213" s="105">
        <f t="shared" si="69"/>
        <v>194</v>
      </c>
      <c r="B213" s="106">
        <v>6</v>
      </c>
      <c r="C213" s="107" t="s">
        <v>62</v>
      </c>
      <c r="D213" s="107" t="s">
        <v>66</v>
      </c>
      <c r="E213" s="54" t="s">
        <v>304</v>
      </c>
      <c r="F213" s="54"/>
      <c r="G213" s="54" t="s">
        <v>64</v>
      </c>
      <c r="H213" s="54" t="s">
        <v>101</v>
      </c>
      <c r="I213" s="54" t="s">
        <v>184</v>
      </c>
      <c r="J213" s="55">
        <v>3725.7</v>
      </c>
      <c r="K213" s="55">
        <v>3170.6</v>
      </c>
      <c r="L213" s="55">
        <v>0</v>
      </c>
      <c r="M213" s="56">
        <v>120</v>
      </c>
      <c r="N213" s="108">
        <f t="shared" si="65"/>
        <v>15665948.736</v>
      </c>
      <c r="O213" s="63">
        <v>0</v>
      </c>
      <c r="P213" s="63">
        <v>12324543.109999999</v>
      </c>
      <c r="Q213" s="63">
        <v>0</v>
      </c>
      <c r="R213" s="63"/>
      <c r="S213" s="63">
        <v>1538172.706</v>
      </c>
      <c r="T213" s="63">
        <v>1803232.92</v>
      </c>
      <c r="U213" s="55">
        <v>5293.1862307167903</v>
      </c>
      <c r="V213" s="55">
        <v>5293.1862307167903</v>
      </c>
      <c r="W213" s="109">
        <v>2023</v>
      </c>
      <c r="X213" s="69">
        <v>1250350.7</v>
      </c>
      <c r="Y213" s="69">
        <f>+(K213*9.1+L213*18.19)*12</f>
        <v>346229.52</v>
      </c>
      <c r="AA213" s="70" t="e">
        <v>#REF!</v>
      </c>
      <c r="AD213" s="70" t="e">
        <v>#REF!</v>
      </c>
      <c r="AP213" s="61">
        <f>+N213-'Приложение №2'!E213</f>
        <v>-5.6095421314239502E-5</v>
      </c>
      <c r="AQ213" s="114">
        <f>1554485.44-R20</f>
        <v>-323401.19999999995</v>
      </c>
      <c r="AR213" s="3">
        <f>+(K213*10+L213*20)*12*0.85</f>
        <v>323401.2</v>
      </c>
      <c r="AS213" s="3">
        <f>+(K213*10+L213*20)*12*30-S20</f>
        <v>0</v>
      </c>
      <c r="AT213" s="6">
        <f t="shared" si="66"/>
        <v>1538172.706</v>
      </c>
      <c r="AU213" s="6" t="e">
        <v>#REF!</v>
      </c>
      <c r="AV213" s="6" t="e">
        <v>#REF!</v>
      </c>
      <c r="AW213" s="62">
        <f t="shared" si="67"/>
        <v>16593212.285611924</v>
      </c>
      <c r="AX213" s="55"/>
      <c r="AY213" s="1"/>
      <c r="AZ213" s="55">
        <v>2400533.6325012301</v>
      </c>
      <c r="BA213" s="1">
        <v>0</v>
      </c>
      <c r="BB213" s="55">
        <v>0</v>
      </c>
      <c r="BC213" s="55"/>
      <c r="BD213" s="55">
        <v>0</v>
      </c>
      <c r="BE213" s="55">
        <v>0</v>
      </c>
      <c r="BF213" s="1">
        <v>0</v>
      </c>
      <c r="BG213" s="1">
        <v>0</v>
      </c>
      <c r="BH213" s="55">
        <v>13159130.2770546</v>
      </c>
      <c r="BI213" s="55"/>
      <c r="BJ213" s="55">
        <v>693290.04</v>
      </c>
      <c r="BK213" s="63"/>
      <c r="BL213" s="111">
        <v>340258.33605609398</v>
      </c>
      <c r="BM213" s="62">
        <f t="shared" si="68"/>
        <v>15750714.386056095</v>
      </c>
      <c r="BN213" s="55"/>
      <c r="BO213" s="1"/>
      <c r="BP213" s="55">
        <v>2589897.61</v>
      </c>
      <c r="BQ213" s="1">
        <v>0</v>
      </c>
      <c r="BR213" s="55">
        <v>0</v>
      </c>
      <c r="BS213" s="55"/>
      <c r="BT213" s="55">
        <v>0</v>
      </c>
      <c r="BU213" s="55">
        <v>0</v>
      </c>
      <c r="BV213" s="1">
        <v>0</v>
      </c>
      <c r="BW213" s="1">
        <v>0</v>
      </c>
      <c r="BX213" s="55">
        <v>12127268.4</v>
      </c>
      <c r="BY213" s="55"/>
      <c r="BZ213" s="55">
        <v>693290.04</v>
      </c>
      <c r="CA213" s="63"/>
      <c r="CB213" s="64">
        <v>340258.33605609398</v>
      </c>
      <c r="CD213" s="115"/>
    </row>
    <row r="214" spans="1:84" x14ac:dyDescent="0.25">
      <c r="A214" s="105">
        <f t="shared" si="69"/>
        <v>195</v>
      </c>
      <c r="B214" s="106">
        <v>7</v>
      </c>
      <c r="C214" s="107" t="s">
        <v>71</v>
      </c>
      <c r="D214" s="107" t="s">
        <v>305</v>
      </c>
      <c r="E214" s="54">
        <v>1989</v>
      </c>
      <c r="F214" s="54">
        <v>2012</v>
      </c>
      <c r="G214" s="54" t="s">
        <v>64</v>
      </c>
      <c r="H214" s="54">
        <v>5</v>
      </c>
      <c r="I214" s="54">
        <v>4</v>
      </c>
      <c r="J214" s="55">
        <v>5759.5</v>
      </c>
      <c r="K214" s="55">
        <v>4823.5</v>
      </c>
      <c r="L214" s="55">
        <v>45.7</v>
      </c>
      <c r="M214" s="56">
        <v>161</v>
      </c>
      <c r="N214" s="108">
        <f t="shared" si="65"/>
        <v>11167541.40536654</v>
      </c>
      <c r="O214" s="63"/>
      <c r="P214" s="63">
        <v>2183252.61</v>
      </c>
      <c r="Q214" s="63"/>
      <c r="R214" s="63">
        <v>835185.52500000002</v>
      </c>
      <c r="S214" s="63">
        <v>8149103.2703665402</v>
      </c>
      <c r="T214" s="63">
        <v>0</v>
      </c>
      <c r="U214" s="55">
        <v>3631.3565411908598</v>
      </c>
      <c r="V214" s="55">
        <v>3631.3565411908598</v>
      </c>
      <c r="W214" s="109">
        <v>2023</v>
      </c>
      <c r="X214" s="6" t="e">
        <v>#REF!</v>
      </c>
      <c r="Z214" s="62">
        <f t="shared" ref="Z214:Z238" si="70">SUM(AA214:AO214)</f>
        <v>25451028.170904994</v>
      </c>
      <c r="AA214" s="55">
        <v>0</v>
      </c>
      <c r="AB214" s="55">
        <v>0</v>
      </c>
      <c r="AC214" s="55">
        <v>0</v>
      </c>
      <c r="AD214" s="55">
        <v>0</v>
      </c>
      <c r="AE214" s="55">
        <v>0</v>
      </c>
      <c r="AF214" s="55"/>
      <c r="AG214" s="55">
        <v>0</v>
      </c>
      <c r="AH214" s="55">
        <v>0</v>
      </c>
      <c r="AI214" s="55">
        <v>0</v>
      </c>
      <c r="AJ214" s="55">
        <v>8223538.8330426197</v>
      </c>
      <c r="AK214" s="55">
        <v>10255795.807027901</v>
      </c>
      <c r="AL214" s="55">
        <v>3687340.1494918698</v>
      </c>
      <c r="AM214" s="55">
        <v>2545102.8170905001</v>
      </c>
      <c r="AN214" s="63">
        <v>254510.28170905</v>
      </c>
      <c r="AO214" s="64">
        <v>484740.282543056</v>
      </c>
      <c r="AP214" s="61">
        <f>+N214-'Приложение №2'!E214</f>
        <v>5.0000026822090149E-3</v>
      </c>
      <c r="AQ214" s="1">
        <v>2384141.34</v>
      </c>
      <c r="AR214" s="3">
        <f>+(K214*10+L214*20)*12*0.85</f>
        <v>501319.8</v>
      </c>
      <c r="AS214" s="3">
        <f>+(K214*10+L214*20)*12*30</f>
        <v>17693640</v>
      </c>
      <c r="AT214" s="6">
        <f t="shared" si="66"/>
        <v>-9544536.7296334598</v>
      </c>
      <c r="AU214" s="6" t="e">
        <v>#REF!</v>
      </c>
      <c r="AV214" s="6" t="e">
        <v>#REF!</v>
      </c>
      <c r="AW214" s="62">
        <f t="shared" si="67"/>
        <v>17681801.270366538</v>
      </c>
      <c r="AX214" s="55">
        <v>0</v>
      </c>
      <c r="AY214" s="55">
        <v>0</v>
      </c>
      <c r="AZ214" s="55">
        <v>3130340.41</v>
      </c>
      <c r="BA214" s="55">
        <v>2723483.78</v>
      </c>
      <c r="BB214" s="55">
        <v>0</v>
      </c>
      <c r="BC214" s="55"/>
      <c r="BD214" s="55"/>
      <c r="BE214" s="55">
        <v>0</v>
      </c>
      <c r="BF214" s="55">
        <v>0</v>
      </c>
      <c r="BG214" s="55">
        <v>6881364.6500000004</v>
      </c>
      <c r="BH214" s="55">
        <v>4596356.03</v>
      </c>
      <c r="BI214" s="55"/>
      <c r="BJ214" s="55"/>
      <c r="BK214" s="63"/>
      <c r="BL214" s="111">
        <f>179832.138797376+170424.261569162</f>
        <v>350256.40036653797</v>
      </c>
      <c r="BM214" s="62">
        <f t="shared" si="68"/>
        <v>14479316.830366537</v>
      </c>
      <c r="BN214" s="55">
        <v>0</v>
      </c>
      <c r="BO214" s="55">
        <v>0</v>
      </c>
      <c r="BP214" s="55">
        <v>1953253.18</v>
      </c>
      <c r="BQ214" s="55">
        <v>1982667.17</v>
      </c>
      <c r="BR214" s="55">
        <v>0</v>
      </c>
      <c r="BS214" s="55"/>
      <c r="BT214" s="55"/>
      <c r="BU214" s="55">
        <v>0</v>
      </c>
      <c r="BV214" s="55">
        <v>0</v>
      </c>
      <c r="BW214" s="55">
        <v>5596784.0499999998</v>
      </c>
      <c r="BX214" s="55">
        <v>4596356.03</v>
      </c>
      <c r="BY214" s="55"/>
      <c r="BZ214" s="55"/>
      <c r="CA214" s="63"/>
      <c r="CB214" s="64">
        <f>179832.138797376+170424.261569162</f>
        <v>350256.40036653797</v>
      </c>
      <c r="CD214" s="117"/>
    </row>
    <row r="215" spans="1:84" x14ac:dyDescent="0.25">
      <c r="A215" s="105">
        <f t="shared" si="69"/>
        <v>196</v>
      </c>
      <c r="B215" s="106">
        <v>8</v>
      </c>
      <c r="C215" s="53" t="s">
        <v>75</v>
      </c>
      <c r="D215" s="53" t="s">
        <v>306</v>
      </c>
      <c r="E215" s="54">
        <v>1987</v>
      </c>
      <c r="F215" s="54">
        <v>2017</v>
      </c>
      <c r="G215" s="54" t="s">
        <v>64</v>
      </c>
      <c r="H215" s="54">
        <v>9</v>
      </c>
      <c r="I215" s="54">
        <v>5</v>
      </c>
      <c r="J215" s="55">
        <v>12266.2</v>
      </c>
      <c r="K215" s="55">
        <v>9496.7999999999993</v>
      </c>
      <c r="L215" s="55">
        <v>175.7</v>
      </c>
      <c r="M215" s="56">
        <v>406</v>
      </c>
      <c r="N215" s="112">
        <f t="shared" si="65"/>
        <v>7074398.3346515801</v>
      </c>
      <c r="O215" s="55"/>
      <c r="P215" s="63"/>
      <c r="Q215" s="63"/>
      <c r="R215" s="63">
        <v>7074398.3346515801</v>
      </c>
      <c r="S215" s="63"/>
      <c r="T215" s="113">
        <v>0</v>
      </c>
      <c r="U215" s="63">
        <v>2594.5512519494</v>
      </c>
      <c r="V215" s="63">
        <v>1199.2830200640001</v>
      </c>
      <c r="W215" s="109">
        <v>2023</v>
      </c>
      <c r="X215" s="6" t="e">
        <v>#REF!</v>
      </c>
      <c r="Z215" s="62">
        <f t="shared" si="70"/>
        <v>34827835.576784179</v>
      </c>
      <c r="AA215" s="55">
        <v>23086920.098178901</v>
      </c>
      <c r="AB215" s="55">
        <v>0</v>
      </c>
      <c r="AC215" s="55">
        <v>6822406.5515479296</v>
      </c>
      <c r="AD215" s="55">
        <v>0</v>
      </c>
      <c r="AE215" s="55">
        <v>0</v>
      </c>
      <c r="AF215" s="55"/>
      <c r="AG215" s="55">
        <v>1025719.6366826</v>
      </c>
      <c r="AH215" s="55">
        <v>0</v>
      </c>
      <c r="AI215" s="55">
        <v>0</v>
      </c>
      <c r="AJ215" s="55">
        <v>0</v>
      </c>
      <c r="AK215" s="55">
        <v>0</v>
      </c>
      <c r="AL215" s="55">
        <v>0</v>
      </c>
      <c r="AM215" s="55">
        <v>2868024.1263817302</v>
      </c>
      <c r="AN215" s="63">
        <v>348278.35576784099</v>
      </c>
      <c r="AO215" s="64">
        <v>676486.80822518002</v>
      </c>
      <c r="AP215" s="61">
        <f>+N215-'Приложение №2'!E215</f>
        <v>0</v>
      </c>
      <c r="AQ215" s="1">
        <v>7111161.1600000001</v>
      </c>
      <c r="AR215" s="3">
        <f>+(K215*13.95+L215*23.65)*12*0.85</f>
        <v>1393683.7829999998</v>
      </c>
      <c r="AS215" s="3">
        <f>+(K215*13.95+L215*23.65)*12*30</f>
        <v>49188839.399999991</v>
      </c>
      <c r="AT215" s="6">
        <f t="shared" si="66"/>
        <v>-49188839.399999991</v>
      </c>
      <c r="AU215" s="6" t="e">
        <v>#REF!</v>
      </c>
      <c r="AV215" s="6" t="e">
        <v>#REF!</v>
      </c>
      <c r="AW215" s="110">
        <f t="shared" si="67"/>
        <v>24639934.32951308</v>
      </c>
      <c r="AX215" s="55">
        <v>23086920.098178901</v>
      </c>
      <c r="AY215" s="55">
        <v>0</v>
      </c>
      <c r="AZ215" s="55"/>
      <c r="BA215" s="55">
        <v>0</v>
      </c>
      <c r="BB215" s="55">
        <v>0</v>
      </c>
      <c r="BC215" s="55"/>
      <c r="BD215" s="55">
        <v>1025719.6366826</v>
      </c>
      <c r="BE215" s="55">
        <v>0</v>
      </c>
      <c r="BF215" s="55">
        <v>0</v>
      </c>
      <c r="BG215" s="55">
        <v>0</v>
      </c>
      <c r="BH215" s="55">
        <v>0</v>
      </c>
      <c r="BI215" s="55">
        <v>0</v>
      </c>
      <c r="BJ215" s="55"/>
      <c r="BK215" s="63"/>
      <c r="BL215" s="111">
        <v>527294.59465157904</v>
      </c>
      <c r="BM215" s="110">
        <f t="shared" si="68"/>
        <v>8100117.9713341789</v>
      </c>
      <c r="BN215" s="55">
        <v>6547103.7400000002</v>
      </c>
      <c r="BO215" s="55">
        <v>0</v>
      </c>
      <c r="BP215" s="55"/>
      <c r="BQ215" s="55">
        <v>0</v>
      </c>
      <c r="BR215" s="55">
        <v>0</v>
      </c>
      <c r="BS215" s="55"/>
      <c r="BT215" s="55">
        <v>1025719.6366826</v>
      </c>
      <c r="BU215" s="55">
        <v>0</v>
      </c>
      <c r="BV215" s="55">
        <v>0</v>
      </c>
      <c r="BW215" s="55">
        <v>0</v>
      </c>
      <c r="BX215" s="55">
        <v>0</v>
      </c>
      <c r="BY215" s="55">
        <v>0</v>
      </c>
      <c r="BZ215" s="55"/>
      <c r="CA215" s="63"/>
      <c r="CB215" s="64">
        <v>527294.59465157904</v>
      </c>
      <c r="CD215" s="117"/>
    </row>
    <row r="216" spans="1:84" x14ac:dyDescent="0.25">
      <c r="A216" s="105">
        <f t="shared" si="69"/>
        <v>197</v>
      </c>
      <c r="B216" s="106">
        <v>9</v>
      </c>
      <c r="C216" s="53" t="s">
        <v>75</v>
      </c>
      <c r="D216" s="53" t="s">
        <v>82</v>
      </c>
      <c r="E216" s="54">
        <v>1988</v>
      </c>
      <c r="F216" s="54">
        <v>2016</v>
      </c>
      <c r="G216" s="54" t="s">
        <v>64</v>
      </c>
      <c r="H216" s="54">
        <v>5</v>
      </c>
      <c r="I216" s="54">
        <v>2</v>
      </c>
      <c r="J216" s="55">
        <v>4465.5</v>
      </c>
      <c r="K216" s="55">
        <v>2945.85</v>
      </c>
      <c r="L216" s="55">
        <v>451.6</v>
      </c>
      <c r="M216" s="56">
        <v>169</v>
      </c>
      <c r="N216" s="112">
        <f t="shared" si="65"/>
        <v>4422364.3859999999</v>
      </c>
      <c r="O216" s="55"/>
      <c r="P216" s="63"/>
      <c r="Q216" s="63"/>
      <c r="R216" s="63"/>
      <c r="S216" s="63">
        <v>4422364.3859999999</v>
      </c>
      <c r="T216" s="63">
        <v>0</v>
      </c>
      <c r="U216" s="63">
        <v>5457.1562858424804</v>
      </c>
      <c r="V216" s="63">
        <v>1193.2830200640001</v>
      </c>
      <c r="W216" s="109">
        <v>2023</v>
      </c>
      <c r="X216" s="6" t="e">
        <v>#REF!</v>
      </c>
      <c r="Z216" s="62">
        <f t="shared" si="70"/>
        <v>40635058.082376592</v>
      </c>
      <c r="AA216" s="55">
        <v>7511049.4806612199</v>
      </c>
      <c r="AB216" s="55">
        <v>3214895.5638655699</v>
      </c>
      <c r="AC216" s="55">
        <v>0</v>
      </c>
      <c r="AD216" s="55">
        <v>3031175.8989669299</v>
      </c>
      <c r="AE216" s="55">
        <v>0</v>
      </c>
      <c r="AF216" s="55"/>
      <c r="AG216" s="55">
        <v>311848.52041429101</v>
      </c>
      <c r="AH216" s="55">
        <v>0</v>
      </c>
      <c r="AI216" s="55">
        <v>0</v>
      </c>
      <c r="AJ216" s="55">
        <v>5678337.1610445501</v>
      </c>
      <c r="AK216" s="55">
        <v>15731938.2183736</v>
      </c>
      <c r="AL216" s="55">
        <v>0</v>
      </c>
      <c r="AM216" s="55">
        <v>3973603.4311193898</v>
      </c>
      <c r="AN216" s="63">
        <v>406350.58082376601</v>
      </c>
      <c r="AO216" s="64">
        <v>775859.22710727504</v>
      </c>
      <c r="AP216" s="61">
        <f>+N216-'Приложение №2'!E216</f>
        <v>-2.7548987418413162E-4</v>
      </c>
      <c r="AQ216" s="6">
        <f>2191563.13-R32</f>
        <v>54528.879999999888</v>
      </c>
      <c r="AR216" s="3">
        <f>+(K216*10.5+L216*21)*12*0.85</f>
        <v>412233.255</v>
      </c>
      <c r="AS216" s="3">
        <f>+(K216*10.5+L216*21)*12*30-S32</f>
        <v>10699675.590000002</v>
      </c>
      <c r="AT216" s="6">
        <f t="shared" si="66"/>
        <v>-6277311.2040000018</v>
      </c>
      <c r="AU216" s="6" t="e">
        <v>#REF!</v>
      </c>
      <c r="AV216" s="6" t="e">
        <v>#REF!</v>
      </c>
      <c r="AW216" s="110">
        <f t="shared" si="67"/>
        <v>16075963.84464909</v>
      </c>
      <c r="AX216" s="55"/>
      <c r="AY216" s="55"/>
      <c r="AZ216" s="55">
        <v>0</v>
      </c>
      <c r="BA216" s="55"/>
      <c r="BB216" s="55">
        <v>0</v>
      </c>
      <c r="BC216" s="55"/>
      <c r="BD216" s="55"/>
      <c r="BE216" s="55">
        <v>0</v>
      </c>
      <c r="BF216" s="55">
        <v>0</v>
      </c>
      <c r="BG216" s="55"/>
      <c r="BH216" s="55">
        <v>15731938.2183736</v>
      </c>
      <c r="BI216" s="55">
        <v>0</v>
      </c>
      <c r="BJ216" s="55"/>
      <c r="BK216" s="63"/>
      <c r="BL216" s="111">
        <v>344025.62627548998</v>
      </c>
      <c r="BM216" s="110">
        <f t="shared" si="68"/>
        <v>16075963.84464909</v>
      </c>
      <c r="BN216" s="55"/>
      <c r="BO216" s="55"/>
      <c r="BP216" s="55">
        <v>0</v>
      </c>
      <c r="BQ216" s="55"/>
      <c r="BR216" s="55">
        <v>0</v>
      </c>
      <c r="BS216" s="55"/>
      <c r="BT216" s="55"/>
      <c r="BU216" s="55">
        <v>0</v>
      </c>
      <c r="BV216" s="55">
        <v>0</v>
      </c>
      <c r="BW216" s="55"/>
      <c r="BX216" s="55">
        <v>15731938.2183736</v>
      </c>
      <c r="BY216" s="55">
        <v>0</v>
      </c>
      <c r="BZ216" s="55"/>
      <c r="CA216" s="63"/>
      <c r="CB216" s="64">
        <v>344025.62627548998</v>
      </c>
    </row>
    <row r="217" spans="1:84" x14ac:dyDescent="0.25">
      <c r="A217" s="105">
        <f t="shared" si="69"/>
        <v>198</v>
      </c>
      <c r="B217" s="106">
        <v>10</v>
      </c>
      <c r="C217" s="53" t="s">
        <v>75</v>
      </c>
      <c r="D217" s="53" t="s">
        <v>307</v>
      </c>
      <c r="E217" s="54">
        <v>1997</v>
      </c>
      <c r="F217" s="54">
        <v>1997</v>
      </c>
      <c r="G217" s="54" t="s">
        <v>64</v>
      </c>
      <c r="H217" s="54">
        <v>9</v>
      </c>
      <c r="I217" s="54">
        <v>1</v>
      </c>
      <c r="J217" s="55">
        <v>2892.9</v>
      </c>
      <c r="K217" s="55">
        <v>2475.6999999999998</v>
      </c>
      <c r="L217" s="55">
        <v>0</v>
      </c>
      <c r="M217" s="56">
        <v>81</v>
      </c>
      <c r="N217" s="112">
        <f t="shared" si="65"/>
        <v>4943819.3880000003</v>
      </c>
      <c r="O217" s="55"/>
      <c r="P217" s="63">
        <v>0</v>
      </c>
      <c r="Q217" s="63"/>
      <c r="R217" s="63">
        <v>2270366.7429999998</v>
      </c>
      <c r="S217" s="63">
        <v>2673452.645</v>
      </c>
      <c r="T217" s="63">
        <v>0</v>
      </c>
      <c r="U217" s="63">
        <v>5499.6590123012802</v>
      </c>
      <c r="V217" s="63">
        <v>1200.2830200640001</v>
      </c>
      <c r="W217" s="109">
        <v>2023</v>
      </c>
      <c r="X217" s="6" t="e">
        <v>#REF!</v>
      </c>
      <c r="Z217" s="62">
        <f t="shared" si="70"/>
        <v>15958327.59649813</v>
      </c>
      <c r="AA217" s="55">
        <v>5934192.4713683696</v>
      </c>
      <c r="AB217" s="55">
        <v>2374242.95769232</v>
      </c>
      <c r="AC217" s="55">
        <v>1753610.8507606201</v>
      </c>
      <c r="AD217" s="55">
        <v>1120637.7264123601</v>
      </c>
      <c r="AE217" s="55">
        <v>0</v>
      </c>
      <c r="AF217" s="55"/>
      <c r="AG217" s="55">
        <v>263647.88892809901</v>
      </c>
      <c r="AH217" s="55">
        <v>0</v>
      </c>
      <c r="AI217" s="55">
        <v>2597035.6702842899</v>
      </c>
      <c r="AJ217" s="55">
        <v>0</v>
      </c>
      <c r="AK217" s="55">
        <v>0</v>
      </c>
      <c r="AL217" s="55">
        <v>0</v>
      </c>
      <c r="AM217" s="55">
        <v>1448276.7490575099</v>
      </c>
      <c r="AN217" s="63">
        <v>159583.275964981</v>
      </c>
      <c r="AO217" s="64">
        <v>307100.00602957897</v>
      </c>
      <c r="AP217" s="61">
        <f>+N217-'Приложение №2'!E217</f>
        <v>3.5214591771364212E-3</v>
      </c>
      <c r="AQ217" s="65">
        <v>1918099.39</v>
      </c>
      <c r="AR217" s="3">
        <f>+(K217*13.95+L217*23.65)*12*0.85</f>
        <v>352267.35299999994</v>
      </c>
      <c r="AS217" s="3">
        <f>+(K217*13.95+L217*23.65)*12*30</f>
        <v>12432965.399999999</v>
      </c>
      <c r="AT217" s="6">
        <f t="shared" si="66"/>
        <v>-9759512.754999999</v>
      </c>
      <c r="AU217" s="6" t="e">
        <v>#REF!</v>
      </c>
      <c r="AV217" s="6" t="e">
        <v>#REF!</v>
      </c>
      <c r="AW217" s="110">
        <f t="shared" si="67"/>
        <v>13615505.816754278</v>
      </c>
      <c r="AX217" s="55">
        <v>6434490.0569673302</v>
      </c>
      <c r="AY217" s="55">
        <v>2579400.6477582301</v>
      </c>
      <c r="AZ217" s="55"/>
      <c r="BA217" s="55">
        <v>1228279.07684931</v>
      </c>
      <c r="BB217" s="55">
        <v>0</v>
      </c>
      <c r="BC217" s="55"/>
      <c r="BD217" s="55">
        <v>263647.88892809901</v>
      </c>
      <c r="BE217" s="55">
        <v>0</v>
      </c>
      <c r="BF217" s="55">
        <v>2818316.32177277</v>
      </c>
      <c r="BG217" s="55">
        <v>0</v>
      </c>
      <c r="BH217" s="55">
        <v>0</v>
      </c>
      <c r="BI217" s="55">
        <v>0</v>
      </c>
      <c r="BJ217" s="55"/>
      <c r="BK217" s="63"/>
      <c r="BL217" s="111">
        <v>291371.82447854098</v>
      </c>
      <c r="BM217" s="110">
        <f t="shared" si="68"/>
        <v>6005945.0751794092</v>
      </c>
      <c r="BN217" s="55">
        <v>1431154.42</v>
      </c>
      <c r="BO217" s="55">
        <v>676787.87</v>
      </c>
      <c r="BP217" s="55"/>
      <c r="BQ217" s="55">
        <v>524666.75</v>
      </c>
      <c r="BR217" s="55">
        <v>0</v>
      </c>
      <c r="BS217" s="55"/>
      <c r="BT217" s="55">
        <v>263647.88892809901</v>
      </c>
      <c r="BU217" s="55">
        <v>0</v>
      </c>
      <c r="BV217" s="55">
        <v>2818316.32177277</v>
      </c>
      <c r="BW217" s="55">
        <v>0</v>
      </c>
      <c r="BX217" s="55">
        <v>0</v>
      </c>
      <c r="BY217" s="55">
        <v>0</v>
      </c>
      <c r="BZ217" s="55"/>
      <c r="CA217" s="63"/>
      <c r="CB217" s="64">
        <v>291371.82447854098</v>
      </c>
    </row>
    <row r="218" spans="1:84" x14ac:dyDescent="0.25">
      <c r="A218" s="105">
        <f t="shared" si="69"/>
        <v>199</v>
      </c>
      <c r="B218" s="106">
        <f t="shared" ref="B218:B249" si="71">+B217+1</f>
        <v>11</v>
      </c>
      <c r="C218" s="53" t="s">
        <v>75</v>
      </c>
      <c r="D218" s="53" t="s">
        <v>84</v>
      </c>
      <c r="E218" s="54">
        <v>1981</v>
      </c>
      <c r="F218" s="54">
        <v>2016</v>
      </c>
      <c r="G218" s="54" t="s">
        <v>64</v>
      </c>
      <c r="H218" s="54">
        <v>4</v>
      </c>
      <c r="I218" s="54">
        <v>3</v>
      </c>
      <c r="J218" s="55">
        <v>3910.2</v>
      </c>
      <c r="K218" s="55">
        <v>2017.9</v>
      </c>
      <c r="L218" s="55">
        <v>997.9</v>
      </c>
      <c r="M218" s="56">
        <v>113</v>
      </c>
      <c r="N218" s="112">
        <f t="shared" si="65"/>
        <v>1972053.5964561398</v>
      </c>
      <c r="O218" s="55"/>
      <c r="P218" s="63"/>
      <c r="Q218" s="63"/>
      <c r="R218" s="63">
        <v>806677.1</v>
      </c>
      <c r="S218" s="63">
        <v>1165376.49645614</v>
      </c>
      <c r="T218" s="113">
        <v>0</v>
      </c>
      <c r="U218" s="55">
        <v>1444.6865164984899</v>
      </c>
      <c r="V218" s="55">
        <v>1444.6865164984899</v>
      </c>
      <c r="W218" s="109">
        <v>2023</v>
      </c>
      <c r="X218" s="6" t="e">
        <v>#REF!</v>
      </c>
      <c r="Z218" s="62">
        <f t="shared" si="70"/>
        <v>33549604.466355488</v>
      </c>
      <c r="AA218" s="55">
        <v>9163753.0558547899</v>
      </c>
      <c r="AB218" s="55">
        <v>4716823.2</v>
      </c>
      <c r="AC218" s="55">
        <v>2695930.7316036099</v>
      </c>
      <c r="AD218" s="55">
        <v>0</v>
      </c>
      <c r="AE218" s="55">
        <v>0</v>
      </c>
      <c r="AF218" s="55"/>
      <c r="AG218" s="55">
        <v>295975.88879684103</v>
      </c>
      <c r="AH218" s="55">
        <v>0</v>
      </c>
      <c r="AI218" s="55">
        <v>13238455.132672099</v>
      </c>
      <c r="AJ218" s="55">
        <v>0</v>
      </c>
      <c r="AK218" s="55">
        <v>0</v>
      </c>
      <c r="AL218" s="55">
        <v>0</v>
      </c>
      <c r="AM218" s="55">
        <v>2552926.0485136802</v>
      </c>
      <c r="AN218" s="63">
        <v>295470.26754077501</v>
      </c>
      <c r="AO218" s="64">
        <v>590270.14137369301</v>
      </c>
      <c r="AP218" s="61">
        <f>+N218-'Приложение №2'!E218</f>
        <v>0</v>
      </c>
      <c r="AQ218" s="1">
        <v>954415.48</v>
      </c>
      <c r="AR218" s="3">
        <f>+(K218*10+L218*20)*12*0.85</f>
        <v>409397.39999999997</v>
      </c>
      <c r="AS218" s="3">
        <f>+(K218*10+L218*20)*12*30</f>
        <v>14449320</v>
      </c>
      <c r="AT218" s="6">
        <f t="shared" si="66"/>
        <v>-13283943.503543859</v>
      </c>
      <c r="AU218" s="6" t="e">
        <v>#REF!</v>
      </c>
      <c r="AV218" s="6" t="e">
        <v>#REF!</v>
      </c>
      <c r="AW218" s="62">
        <f t="shared" si="67"/>
        <v>4356885.5964561403</v>
      </c>
      <c r="AX218" s="55">
        <v>3825570</v>
      </c>
      <c r="AY218" s="55"/>
      <c r="AZ218" s="55"/>
      <c r="BA218" s="55">
        <v>0</v>
      </c>
      <c r="BB218" s="55">
        <v>0</v>
      </c>
      <c r="BC218" s="55"/>
      <c r="BD218" s="55"/>
      <c r="BE218" s="55"/>
      <c r="BF218" s="55"/>
      <c r="BG218" s="55">
        <v>0</v>
      </c>
      <c r="BH218" s="55">
        <v>0</v>
      </c>
      <c r="BI218" s="55">
        <v>0</v>
      </c>
      <c r="BJ218" s="55"/>
      <c r="BK218" s="63"/>
      <c r="BL218" s="111">
        <v>531315.59645614005</v>
      </c>
      <c r="BM218" s="62">
        <f t="shared" si="68"/>
        <v>1972053.59645614</v>
      </c>
      <c r="BN218" s="55">
        <v>1440738</v>
      </c>
      <c r="BO218" s="55"/>
      <c r="BP218" s="55"/>
      <c r="BQ218" s="55">
        <v>0</v>
      </c>
      <c r="BR218" s="55">
        <v>0</v>
      </c>
      <c r="BS218" s="55"/>
      <c r="BT218" s="55"/>
      <c r="BU218" s="55"/>
      <c r="BV218" s="55"/>
      <c r="BW218" s="55">
        <v>0</v>
      </c>
      <c r="BX218" s="55">
        <v>0</v>
      </c>
      <c r="BY218" s="55">
        <v>0</v>
      </c>
      <c r="BZ218" s="55"/>
      <c r="CA218" s="63"/>
      <c r="CB218" s="64">
        <v>531315.59645614005</v>
      </c>
      <c r="CD218" s="117"/>
    </row>
    <row r="219" spans="1:84" x14ac:dyDescent="0.25">
      <c r="A219" s="105">
        <f t="shared" si="69"/>
        <v>200</v>
      </c>
      <c r="B219" s="106">
        <f t="shared" si="71"/>
        <v>12</v>
      </c>
      <c r="C219" s="53" t="s">
        <v>75</v>
      </c>
      <c r="D219" s="53" t="s">
        <v>308</v>
      </c>
      <c r="E219" s="54">
        <v>1990</v>
      </c>
      <c r="F219" s="54">
        <v>2017</v>
      </c>
      <c r="G219" s="54" t="s">
        <v>64</v>
      </c>
      <c r="H219" s="54">
        <v>9</v>
      </c>
      <c r="I219" s="54">
        <v>1</v>
      </c>
      <c r="J219" s="55">
        <v>3216.7</v>
      </c>
      <c r="K219" s="55">
        <v>2758.3</v>
      </c>
      <c r="L219" s="55">
        <v>0</v>
      </c>
      <c r="M219" s="56">
        <v>101</v>
      </c>
      <c r="N219" s="112">
        <f t="shared" si="65"/>
        <v>1319581.1035</v>
      </c>
      <c r="O219" s="55"/>
      <c r="P219" s="55"/>
      <c r="Q219" s="55"/>
      <c r="R219" s="55"/>
      <c r="S219" s="55">
        <v>1319581.1035</v>
      </c>
      <c r="T219" s="55">
        <v>0</v>
      </c>
      <c r="U219" s="55">
        <v>989.54346283019595</v>
      </c>
      <c r="V219" s="63">
        <v>989.54346283019595</v>
      </c>
      <c r="W219" s="109">
        <v>2023</v>
      </c>
      <c r="X219" s="6" t="e">
        <v>#REF!</v>
      </c>
      <c r="Z219" s="62">
        <f t="shared" si="70"/>
        <v>15264572.541393425</v>
      </c>
      <c r="AA219" s="55">
        <v>8237660.7623945801</v>
      </c>
      <c r="AB219" s="55">
        <v>3295849.96565906</v>
      </c>
      <c r="AC219" s="55">
        <v>0</v>
      </c>
      <c r="AD219" s="55">
        <v>1555634.31288529</v>
      </c>
      <c r="AE219" s="55">
        <v>0</v>
      </c>
      <c r="AF219" s="55"/>
      <c r="AG219" s="55">
        <v>365987.770061385</v>
      </c>
      <c r="AH219" s="55">
        <v>0</v>
      </c>
      <c r="AI219" s="55">
        <v>0</v>
      </c>
      <c r="AJ219" s="55">
        <v>0</v>
      </c>
      <c r="AK219" s="55">
        <v>0</v>
      </c>
      <c r="AL219" s="55">
        <v>0</v>
      </c>
      <c r="AM219" s="55">
        <v>1362557.50165258</v>
      </c>
      <c r="AN219" s="63">
        <v>152645.72541393401</v>
      </c>
      <c r="AO219" s="64">
        <v>294236.50332659599</v>
      </c>
      <c r="AP219" s="61">
        <f>+N219-'Приложение №2'!E219</f>
        <v>-2.4528941139578819E-5</v>
      </c>
      <c r="AQ219" s="1">
        <v>1661335.31</v>
      </c>
      <c r="AR219" s="3">
        <f>+(K219*13.29+L219*22.52)*12*0.85</f>
        <v>373909.63140000001</v>
      </c>
      <c r="AS219" s="3">
        <f>+(K219*13.29+L219*22.52)*12*30</f>
        <v>13196810.52</v>
      </c>
      <c r="AT219" s="6">
        <f t="shared" si="66"/>
        <v>-11877229.4165</v>
      </c>
      <c r="AW219" s="62">
        <f t="shared" si="67"/>
        <v>2729457.7335245288</v>
      </c>
      <c r="AX219" s="55"/>
      <c r="AY219" s="55">
        <v>953472.79</v>
      </c>
      <c r="AZ219" s="55">
        <v>0</v>
      </c>
      <c r="BA219" s="55">
        <v>1703911.38</v>
      </c>
      <c r="BB219" s="55">
        <v>0</v>
      </c>
      <c r="BC219" s="55"/>
      <c r="BD219" s="55"/>
      <c r="BE219" s="55">
        <v>0</v>
      </c>
      <c r="BF219" s="55">
        <v>0</v>
      </c>
      <c r="BG219" s="55">
        <v>0</v>
      </c>
      <c r="BH219" s="55">
        <v>0</v>
      </c>
      <c r="BI219" s="55">
        <v>0</v>
      </c>
      <c r="BJ219" s="55"/>
      <c r="BK219" s="63"/>
      <c r="BL219" s="111">
        <v>72073.563524528799</v>
      </c>
      <c r="BM219" s="62">
        <f t="shared" si="68"/>
        <v>1319581.1035245289</v>
      </c>
      <c r="BN219" s="55"/>
      <c r="BO219" s="118">
        <v>598205.16</v>
      </c>
      <c r="BP219" s="55">
        <v>0</v>
      </c>
      <c r="BQ219" s="118">
        <v>649302.38</v>
      </c>
      <c r="BR219" s="55">
        <v>0</v>
      </c>
      <c r="BS219" s="55"/>
      <c r="BT219" s="55"/>
      <c r="BU219" s="55">
        <v>0</v>
      </c>
      <c r="BV219" s="55">
        <v>0</v>
      </c>
      <c r="BW219" s="55">
        <v>0</v>
      </c>
      <c r="BX219" s="55">
        <v>0</v>
      </c>
      <c r="BY219" s="55">
        <v>0</v>
      </c>
      <c r="BZ219" s="55"/>
      <c r="CA219" s="63"/>
      <c r="CB219" s="64">
        <v>72073.563524528799</v>
      </c>
      <c r="CD219" s="117"/>
    </row>
    <row r="220" spans="1:84" x14ac:dyDescent="0.25">
      <c r="A220" s="105">
        <f t="shared" si="69"/>
        <v>201</v>
      </c>
      <c r="B220" s="106">
        <f t="shared" si="71"/>
        <v>13</v>
      </c>
      <c r="C220" s="53" t="s">
        <v>75</v>
      </c>
      <c r="D220" s="53" t="s">
        <v>92</v>
      </c>
      <c r="E220" s="54">
        <v>1991</v>
      </c>
      <c r="F220" s="54">
        <v>1991</v>
      </c>
      <c r="G220" s="54" t="s">
        <v>64</v>
      </c>
      <c r="H220" s="54">
        <v>5</v>
      </c>
      <c r="I220" s="54">
        <v>8</v>
      </c>
      <c r="J220" s="55">
        <v>7532.7</v>
      </c>
      <c r="K220" s="55">
        <v>6513.5</v>
      </c>
      <c r="L220" s="55">
        <v>98.2</v>
      </c>
      <c r="M220" s="56">
        <v>288</v>
      </c>
      <c r="N220" s="112">
        <f t="shared" si="65"/>
        <v>5120371.9189347401</v>
      </c>
      <c r="O220" s="58"/>
      <c r="P220" s="63"/>
      <c r="Q220" s="63"/>
      <c r="R220" s="63">
        <v>2140753.46</v>
      </c>
      <c r="S220" s="63">
        <v>2979618.4589347402</v>
      </c>
      <c r="T220" s="63">
        <v>0</v>
      </c>
      <c r="U220" s="63">
        <v>795.49916798020695</v>
      </c>
      <c r="V220" s="63">
        <v>795.49916798020695</v>
      </c>
      <c r="W220" s="109">
        <v>2023</v>
      </c>
      <c r="X220" s="6" t="e">
        <v>#REF!</v>
      </c>
      <c r="Z220" s="62">
        <f t="shared" si="70"/>
        <v>28038201.105236765</v>
      </c>
      <c r="AA220" s="55">
        <v>13119220.497721599</v>
      </c>
      <c r="AB220" s="55">
        <v>5615316.9923980404</v>
      </c>
      <c r="AC220" s="55">
        <v>0</v>
      </c>
      <c r="AD220" s="55">
        <v>5294421.91644648</v>
      </c>
      <c r="AE220" s="55">
        <v>0</v>
      </c>
      <c r="AF220" s="55"/>
      <c r="AG220" s="55">
        <v>544692.12481385004</v>
      </c>
      <c r="AH220" s="55">
        <v>0</v>
      </c>
      <c r="AI220" s="55">
        <v>0</v>
      </c>
      <c r="AJ220" s="55">
        <v>0</v>
      </c>
      <c r="AK220" s="55">
        <v>0</v>
      </c>
      <c r="AL220" s="55">
        <v>0</v>
      </c>
      <c r="AM220" s="55">
        <v>2646791.5738696898</v>
      </c>
      <c r="AN220" s="63">
        <v>280382.01105236798</v>
      </c>
      <c r="AO220" s="64">
        <v>537375.98893473495</v>
      </c>
      <c r="AP220" s="61">
        <f>+N220-'Приложение №2'!E220</f>
        <v>0</v>
      </c>
      <c r="AQ220" s="1" t="e">
        <v>#REF!</v>
      </c>
      <c r="AR220" s="3">
        <f>+(K220*10+L220*20)*12*0.85</f>
        <v>684409.79999999993</v>
      </c>
      <c r="AS220" s="3" t="e">
        <v>#REF!</v>
      </c>
      <c r="AT220" s="6" t="e">
        <f t="shared" si="66"/>
        <v>#REF!</v>
      </c>
      <c r="AW220" s="62">
        <f t="shared" si="67"/>
        <v>5259601.8489347352</v>
      </c>
      <c r="AX220" s="55">
        <v>2924642.29</v>
      </c>
      <c r="AY220" s="55"/>
      <c r="AZ220" s="55"/>
      <c r="BA220" s="55">
        <v>1797583.57</v>
      </c>
      <c r="BB220" s="55">
        <v>0</v>
      </c>
      <c r="BC220" s="55"/>
      <c r="BD220" s="55"/>
      <c r="BE220" s="55">
        <v>0</v>
      </c>
      <c r="BF220" s="55">
        <v>0</v>
      </c>
      <c r="BG220" s="55">
        <v>0</v>
      </c>
      <c r="BH220" s="55">
        <v>0</v>
      </c>
      <c r="BI220" s="55">
        <v>0</v>
      </c>
      <c r="BJ220" s="55"/>
      <c r="BK220" s="63"/>
      <c r="BL220" s="111">
        <v>537375.98893473495</v>
      </c>
      <c r="BM220" s="62">
        <f t="shared" si="68"/>
        <v>5120371.9189347345</v>
      </c>
      <c r="BN220" s="55">
        <v>2785412.36</v>
      </c>
      <c r="BO220" s="55"/>
      <c r="BP220" s="55"/>
      <c r="BQ220" s="55">
        <v>1797583.57</v>
      </c>
      <c r="BR220" s="55">
        <v>0</v>
      </c>
      <c r="BS220" s="55"/>
      <c r="BT220" s="55"/>
      <c r="BU220" s="55">
        <v>0</v>
      </c>
      <c r="BV220" s="55">
        <v>0</v>
      </c>
      <c r="BW220" s="55">
        <v>0</v>
      </c>
      <c r="BX220" s="55">
        <v>0</v>
      </c>
      <c r="BY220" s="55">
        <v>0</v>
      </c>
      <c r="BZ220" s="55"/>
      <c r="CA220" s="63"/>
      <c r="CB220" s="64">
        <v>537375.98893473495</v>
      </c>
    </row>
    <row r="221" spans="1:84" x14ac:dyDescent="0.25">
      <c r="A221" s="105">
        <f t="shared" si="69"/>
        <v>202</v>
      </c>
      <c r="B221" s="106">
        <f t="shared" si="71"/>
        <v>14</v>
      </c>
      <c r="C221" s="53" t="s">
        <v>75</v>
      </c>
      <c r="D221" s="53" t="s">
        <v>95</v>
      </c>
      <c r="E221" s="54">
        <v>1986</v>
      </c>
      <c r="F221" s="54">
        <v>2013</v>
      </c>
      <c r="G221" s="54" t="s">
        <v>64</v>
      </c>
      <c r="H221" s="54">
        <v>5</v>
      </c>
      <c r="I221" s="54">
        <v>3</v>
      </c>
      <c r="J221" s="55">
        <v>4428.3999999999996</v>
      </c>
      <c r="K221" s="55">
        <v>3725.8</v>
      </c>
      <c r="L221" s="55">
        <v>0</v>
      </c>
      <c r="M221" s="56">
        <v>153</v>
      </c>
      <c r="N221" s="112">
        <f t="shared" si="65"/>
        <v>1185276.1114287199</v>
      </c>
      <c r="O221" s="55"/>
      <c r="P221" s="63"/>
      <c r="Q221" s="63"/>
      <c r="R221" s="63"/>
      <c r="S221" s="63">
        <v>1185276.1114287199</v>
      </c>
      <c r="T221" s="63">
        <v>0</v>
      </c>
      <c r="U221" s="63">
        <v>318.12660674988598</v>
      </c>
      <c r="V221" s="63">
        <v>318.12660674988598</v>
      </c>
      <c r="W221" s="109">
        <v>2023</v>
      </c>
      <c r="X221" s="6" t="e">
        <v>#REF!</v>
      </c>
      <c r="Z221" s="62">
        <f t="shared" si="70"/>
        <v>12150273.237424362</v>
      </c>
      <c r="AA221" s="55">
        <v>7382843.4652546104</v>
      </c>
      <c r="AB221" s="55">
        <v>0</v>
      </c>
      <c r="AC221" s="55">
        <v>0</v>
      </c>
      <c r="AD221" s="55">
        <v>2979436.7931331</v>
      </c>
      <c r="AE221" s="55">
        <v>0</v>
      </c>
      <c r="AF221" s="55"/>
      <c r="AG221" s="55">
        <v>306525.58168040199</v>
      </c>
      <c r="AH221" s="55">
        <v>0</v>
      </c>
      <c r="AI221" s="55">
        <v>0</v>
      </c>
      <c r="AJ221" s="55">
        <v>0</v>
      </c>
      <c r="AK221" s="55">
        <v>0</v>
      </c>
      <c r="AL221" s="55">
        <v>0</v>
      </c>
      <c r="AM221" s="55">
        <v>1126659.48924375</v>
      </c>
      <c r="AN221" s="63">
        <v>121502.73237424401</v>
      </c>
      <c r="AO221" s="64">
        <v>233305.17573825599</v>
      </c>
      <c r="AP221" s="61">
        <f>+N221-'Приложение №2'!E221</f>
        <v>-4.1909515857696533E-9</v>
      </c>
      <c r="AQ221" s="6">
        <f>1864228.53-R45</f>
        <v>-380031.59999999986</v>
      </c>
      <c r="AR221" s="3">
        <f>+(K221*10+L221*20)*12*0.85</f>
        <v>380031.6</v>
      </c>
      <c r="AS221" s="3">
        <f>+(K221*10+L221*20)*12*30-S45</f>
        <v>10354704.49857128</v>
      </c>
      <c r="AT221" s="6">
        <f t="shared" si="66"/>
        <v>-9169428.3871425614</v>
      </c>
      <c r="AW221" s="62">
        <f t="shared" si="67"/>
        <v>1185276.1114287241</v>
      </c>
      <c r="AX221" s="55"/>
      <c r="AY221" s="55">
        <v>0</v>
      </c>
      <c r="AZ221" s="55">
        <v>0</v>
      </c>
      <c r="BA221" s="55">
        <v>998067.65</v>
      </c>
      <c r="BB221" s="55">
        <v>0</v>
      </c>
      <c r="BC221" s="55"/>
      <c r="BD221" s="55"/>
      <c r="BE221" s="55">
        <v>0</v>
      </c>
      <c r="BF221" s="55">
        <v>0</v>
      </c>
      <c r="BG221" s="55"/>
      <c r="BH221" s="55">
        <v>0</v>
      </c>
      <c r="BI221" s="55">
        <v>0</v>
      </c>
      <c r="BJ221" s="55"/>
      <c r="BK221" s="63"/>
      <c r="BL221" s="111">
        <v>187208.461428724</v>
      </c>
      <c r="BM221" s="62">
        <f t="shared" si="68"/>
        <v>1185276.1114287241</v>
      </c>
      <c r="BN221" s="55"/>
      <c r="BO221" s="55">
        <v>0</v>
      </c>
      <c r="BP221" s="55">
        <v>0</v>
      </c>
      <c r="BQ221" s="55">
        <v>998067.65</v>
      </c>
      <c r="BR221" s="55">
        <v>0</v>
      </c>
      <c r="BS221" s="55"/>
      <c r="BT221" s="55"/>
      <c r="BU221" s="55">
        <v>0</v>
      </c>
      <c r="BV221" s="55">
        <v>0</v>
      </c>
      <c r="BW221" s="55"/>
      <c r="BX221" s="55">
        <v>0</v>
      </c>
      <c r="BY221" s="55">
        <v>0</v>
      </c>
      <c r="BZ221" s="55"/>
      <c r="CA221" s="63"/>
      <c r="CB221" s="111">
        <v>187208.461428724</v>
      </c>
    </row>
    <row r="222" spans="1:84" x14ac:dyDescent="0.25">
      <c r="A222" s="105">
        <f t="shared" si="69"/>
        <v>203</v>
      </c>
      <c r="B222" s="106">
        <f t="shared" si="71"/>
        <v>15</v>
      </c>
      <c r="C222" s="107" t="s">
        <v>75</v>
      </c>
      <c r="D222" s="107" t="s">
        <v>104</v>
      </c>
      <c r="E222" s="54">
        <v>1992</v>
      </c>
      <c r="F222" s="54">
        <v>2001</v>
      </c>
      <c r="G222" s="54" t="s">
        <v>64</v>
      </c>
      <c r="H222" s="54">
        <v>3</v>
      </c>
      <c r="I222" s="54">
        <v>5</v>
      </c>
      <c r="J222" s="55">
        <v>2965.1</v>
      </c>
      <c r="K222" s="55">
        <v>2484</v>
      </c>
      <c r="L222" s="55">
        <v>87.5</v>
      </c>
      <c r="M222" s="56">
        <v>91</v>
      </c>
      <c r="N222" s="108">
        <f t="shared" si="65"/>
        <v>9298826.2333740797</v>
      </c>
      <c r="O222" s="63"/>
      <c r="P222" s="63">
        <v>5985386.1639999999</v>
      </c>
      <c r="Q222" s="63"/>
      <c r="R222" s="63">
        <v>213532.98</v>
      </c>
      <c r="S222" s="63">
        <v>3099907.0893740798</v>
      </c>
      <c r="T222" s="63">
        <v>0</v>
      </c>
      <c r="U222" s="63">
        <v>3616.1097528190098</v>
      </c>
      <c r="V222" s="63">
        <v>3616.1097528190098</v>
      </c>
      <c r="W222" s="109">
        <v>2023</v>
      </c>
      <c r="X222" s="6" t="e">
        <v>#REF!</v>
      </c>
      <c r="Z222" s="62">
        <f t="shared" si="70"/>
        <v>25552155.490000002</v>
      </c>
      <c r="AA222" s="55">
        <v>0</v>
      </c>
      <c r="AB222" s="55">
        <v>0</v>
      </c>
      <c r="AC222" s="55">
        <v>0</v>
      </c>
      <c r="AD222" s="55">
        <v>0</v>
      </c>
      <c r="AE222" s="55">
        <v>0</v>
      </c>
      <c r="AF222" s="55"/>
      <c r="AG222" s="55">
        <v>0</v>
      </c>
      <c r="AH222" s="55">
        <v>0</v>
      </c>
      <c r="AI222" s="55">
        <v>22504805.426262598</v>
      </c>
      <c r="AJ222" s="55">
        <v>0</v>
      </c>
      <c r="AK222" s="55">
        <v>0</v>
      </c>
      <c r="AL222" s="55">
        <v>0</v>
      </c>
      <c r="AM222" s="55">
        <v>2299693.9940999998</v>
      </c>
      <c r="AN222" s="63">
        <v>255521.55489999999</v>
      </c>
      <c r="AO222" s="64">
        <v>492134.51473739999</v>
      </c>
      <c r="AP222" s="61">
        <f>+N222-'Приложение №2'!E222</f>
        <v>3.9999987930059433E-3</v>
      </c>
      <c r="AQ222" s="6">
        <f>1173019.05-R51</f>
        <v>-13985.589374080068</v>
      </c>
      <c r="AR222" s="3">
        <f>+(K222*10+L222*20)*12*0.85</f>
        <v>271218</v>
      </c>
      <c r="AS222" s="3">
        <f>+(K222*10+L222*20)*12*30-S51</f>
        <v>2035941.8399999999</v>
      </c>
      <c r="AT222" s="6">
        <f t="shared" si="66"/>
        <v>1063965.24937408</v>
      </c>
      <c r="AW222" s="62">
        <f t="shared" si="67"/>
        <v>9298826.2293740809</v>
      </c>
      <c r="AX222" s="55">
        <v>0</v>
      </c>
      <c r="AY222" s="55">
        <v>0</v>
      </c>
      <c r="AZ222" s="55">
        <v>0</v>
      </c>
      <c r="BA222" s="55">
        <v>0</v>
      </c>
      <c r="BB222" s="55">
        <v>0</v>
      </c>
      <c r="BC222" s="55"/>
      <c r="BD222" s="55"/>
      <c r="BE222" s="55">
        <v>0</v>
      </c>
      <c r="BF222" s="55">
        <v>8234860.9800000004</v>
      </c>
      <c r="BG222" s="55">
        <v>0</v>
      </c>
      <c r="BH222" s="55"/>
      <c r="BI222" s="55">
        <v>0</v>
      </c>
      <c r="BJ222" s="55"/>
      <c r="BK222" s="63"/>
      <c r="BL222" s="111">
        <v>1063965.24937408</v>
      </c>
      <c r="BM222" s="62">
        <f t="shared" si="68"/>
        <v>9298826.2293740809</v>
      </c>
      <c r="BN222" s="55">
        <v>0</v>
      </c>
      <c r="BO222" s="55">
        <v>0</v>
      </c>
      <c r="BP222" s="55">
        <v>0</v>
      </c>
      <c r="BQ222" s="55">
        <v>0</v>
      </c>
      <c r="BR222" s="55">
        <v>0</v>
      </c>
      <c r="BS222" s="55"/>
      <c r="BT222" s="55"/>
      <c r="BU222" s="55">
        <v>0</v>
      </c>
      <c r="BV222" s="55">
        <v>8234860.9800000004</v>
      </c>
      <c r="BW222" s="55">
        <v>0</v>
      </c>
      <c r="BX222" s="55"/>
      <c r="BY222" s="55">
        <v>0</v>
      </c>
      <c r="BZ222" s="55"/>
      <c r="CA222" s="63"/>
      <c r="CB222" s="64">
        <v>1063965.24937408</v>
      </c>
    </row>
    <row r="223" spans="1:84" x14ac:dyDescent="0.25">
      <c r="A223" s="105">
        <f t="shared" si="69"/>
        <v>204</v>
      </c>
      <c r="B223" s="106">
        <f t="shared" si="71"/>
        <v>16</v>
      </c>
      <c r="C223" s="53" t="s">
        <v>75</v>
      </c>
      <c r="D223" s="53" t="s">
        <v>309</v>
      </c>
      <c r="E223" s="54">
        <v>1987</v>
      </c>
      <c r="F223" s="54">
        <v>2016</v>
      </c>
      <c r="G223" s="54" t="s">
        <v>64</v>
      </c>
      <c r="H223" s="54">
        <v>5</v>
      </c>
      <c r="I223" s="54">
        <v>5</v>
      </c>
      <c r="J223" s="55">
        <v>7155.6</v>
      </c>
      <c r="K223" s="55">
        <v>5789.5</v>
      </c>
      <c r="L223" s="55">
        <v>194.7</v>
      </c>
      <c r="M223" s="56">
        <v>243</v>
      </c>
      <c r="N223" s="112">
        <f t="shared" si="65"/>
        <v>9813222.129999999</v>
      </c>
      <c r="O223" s="55"/>
      <c r="P223" s="55"/>
      <c r="Q223" s="55"/>
      <c r="R223" s="55">
        <v>2256212.41</v>
      </c>
      <c r="S223" s="55">
        <v>7557009.7199999997</v>
      </c>
      <c r="T223" s="55"/>
      <c r="U223" s="55">
        <v>5709.58601666298</v>
      </c>
      <c r="V223" s="63">
        <v>1235.2830200640001</v>
      </c>
      <c r="W223" s="109">
        <v>2023</v>
      </c>
      <c r="X223" s="6" t="e">
        <v>#REF!</v>
      </c>
      <c r="Z223" s="62">
        <f t="shared" si="70"/>
        <v>41277450.38367226</v>
      </c>
      <c r="AA223" s="55">
        <v>11858561.0386538</v>
      </c>
      <c r="AB223" s="55">
        <v>0</v>
      </c>
      <c r="AC223" s="55">
        <v>0</v>
      </c>
      <c r="AD223" s="55">
        <v>4785667.37036476</v>
      </c>
      <c r="AE223" s="55">
        <v>0</v>
      </c>
      <c r="AF223" s="55"/>
      <c r="AG223" s="55">
        <v>0</v>
      </c>
      <c r="AH223" s="55">
        <v>0</v>
      </c>
      <c r="AI223" s="55">
        <v>19618197.919447601</v>
      </c>
      <c r="AJ223" s="55">
        <v>0</v>
      </c>
      <c r="AK223" s="55">
        <v>0</v>
      </c>
      <c r="AL223" s="55">
        <v>0</v>
      </c>
      <c r="AM223" s="55">
        <v>3809263.7313927002</v>
      </c>
      <c r="AN223" s="63">
        <v>412774.50383672299</v>
      </c>
      <c r="AO223" s="64">
        <v>792985.81997667695</v>
      </c>
      <c r="AP223" s="61">
        <f>+N223-'Приложение №2'!E223</f>
        <v>-1.5770010650157928E-3</v>
      </c>
      <c r="AQ223" s="65">
        <v>3643194.21</v>
      </c>
      <c r="AR223" s="3">
        <f>+(K223*10.5+L223*21)*12*0.85</f>
        <v>661760.18999999994</v>
      </c>
      <c r="AS223" s="3">
        <f>+(K223*10.5+L223*21)*12*30</f>
        <v>23356241.999999996</v>
      </c>
      <c r="AT223" s="6">
        <f t="shared" si="66"/>
        <v>-15799232.279999997</v>
      </c>
      <c r="AU223" s="6" t="e">
        <v>#REF!</v>
      </c>
      <c r="AV223" s="6" t="e">
        <v>#REF!</v>
      </c>
      <c r="AW223" s="110">
        <f t="shared" si="67"/>
        <v>33055648.243470304</v>
      </c>
      <c r="AX223" s="55">
        <v>11858561.0386538</v>
      </c>
      <c r="AY223" s="55">
        <v>0</v>
      </c>
      <c r="AZ223" s="55">
        <v>0</v>
      </c>
      <c r="BA223" s="55"/>
      <c r="BB223" s="55">
        <v>0</v>
      </c>
      <c r="BC223" s="55"/>
      <c r="BD223" s="55">
        <v>492326.58379190101</v>
      </c>
      <c r="BE223" s="55">
        <v>0</v>
      </c>
      <c r="BF223" s="55">
        <v>19618197.919447601</v>
      </c>
      <c r="BG223" s="55"/>
      <c r="BH223" s="55">
        <v>0</v>
      </c>
      <c r="BI223" s="55">
        <v>0</v>
      </c>
      <c r="BJ223" s="55"/>
      <c r="BK223" s="63"/>
      <c r="BL223" s="111">
        <v>1086562.7015770001</v>
      </c>
      <c r="BM223" s="110">
        <f t="shared" si="68"/>
        <v>22164109.754022703</v>
      </c>
      <c r="BN223" s="55">
        <v>11858561.0386538</v>
      </c>
      <c r="BO223" s="55">
        <v>0</v>
      </c>
      <c r="BP223" s="55">
        <v>0</v>
      </c>
      <c r="BQ223" s="55"/>
      <c r="BR223" s="55">
        <v>0</v>
      </c>
      <c r="BS223" s="55"/>
      <c r="BT223" s="55">
        <v>492326.58379190101</v>
      </c>
      <c r="BU223" s="55">
        <v>0</v>
      </c>
      <c r="BV223" s="55">
        <v>8726659.4299999997</v>
      </c>
      <c r="BW223" s="55"/>
      <c r="BX223" s="55">
        <v>0</v>
      </c>
      <c r="BY223" s="55">
        <v>0</v>
      </c>
      <c r="BZ223" s="55"/>
      <c r="CA223" s="63"/>
      <c r="CB223" s="64">
        <v>1086562.7015770001</v>
      </c>
    </row>
    <row r="224" spans="1:84" x14ac:dyDescent="0.25">
      <c r="A224" s="105">
        <f t="shared" si="69"/>
        <v>205</v>
      </c>
      <c r="B224" s="106">
        <f t="shared" si="71"/>
        <v>17</v>
      </c>
      <c r="C224" s="63" t="s">
        <v>75</v>
      </c>
      <c r="D224" s="55" t="s">
        <v>310</v>
      </c>
      <c r="E224" s="54">
        <v>1988</v>
      </c>
      <c r="F224" s="54">
        <v>2016</v>
      </c>
      <c r="G224" s="54" t="s">
        <v>64</v>
      </c>
      <c r="H224" s="54">
        <v>5</v>
      </c>
      <c r="I224" s="54">
        <v>4</v>
      </c>
      <c r="J224" s="55">
        <v>5772.8</v>
      </c>
      <c r="K224" s="63">
        <v>4849.63</v>
      </c>
      <c r="L224" s="63">
        <v>82.5</v>
      </c>
      <c r="M224" s="55">
        <v>180</v>
      </c>
      <c r="N224" s="63">
        <f t="shared" si="65"/>
        <v>25904958.489999998</v>
      </c>
      <c r="O224" s="63"/>
      <c r="P224" s="63">
        <v>5645681.8499999996</v>
      </c>
      <c r="Q224" s="63"/>
      <c r="R224" s="63">
        <v>2069358.88</v>
      </c>
      <c r="S224" s="63">
        <v>16566112.4</v>
      </c>
      <c r="T224" s="63">
        <v>1623805.36</v>
      </c>
      <c r="U224" s="63">
        <v>6311.2653924369397</v>
      </c>
      <c r="V224" s="55">
        <v>6311.2653924369397</v>
      </c>
      <c r="W224" s="109">
        <v>2023</v>
      </c>
      <c r="X224" s="6" t="e">
        <v>#REF!</v>
      </c>
      <c r="Z224" s="77">
        <f t="shared" si="70"/>
        <v>42112938.804027557</v>
      </c>
      <c r="AA224" s="78">
        <v>9562345.7271670904</v>
      </c>
      <c r="AB224" s="78">
        <v>4092895.7980599101</v>
      </c>
      <c r="AC224" s="78">
        <v>0</v>
      </c>
      <c r="AD224" s="78">
        <v>0</v>
      </c>
      <c r="AE224" s="78">
        <v>0</v>
      </c>
      <c r="AF224" s="78"/>
      <c r="AG224" s="78">
        <v>397015.54015650798</v>
      </c>
      <c r="AH224" s="78">
        <v>0</v>
      </c>
      <c r="AI224" s="78">
        <v>15819456.546057099</v>
      </c>
      <c r="AJ224" s="78">
        <v>7229112.6864668699</v>
      </c>
      <c r="AK224" s="78">
        <v>0</v>
      </c>
      <c r="AL224" s="78">
        <v>0</v>
      </c>
      <c r="AM224" s="78">
        <v>3779663.18881839</v>
      </c>
      <c r="AN224" s="119">
        <v>421129.38804027502</v>
      </c>
      <c r="AO224" s="120">
        <v>811319.92926141398</v>
      </c>
      <c r="AP224" s="61">
        <f>+N224-'Приложение №2'!E224</f>
        <v>0</v>
      </c>
      <c r="AQ224" s="1">
        <v>1557866.62</v>
      </c>
      <c r="AR224" s="3">
        <f>+(K224*10+L224*20)*12*0.85</f>
        <v>511492.26000000007</v>
      </c>
      <c r="AS224" s="3">
        <f>+(K224*10+L224*20)*12*30</f>
        <v>18052668.000000004</v>
      </c>
      <c r="AT224" s="6">
        <f t="shared" si="66"/>
        <v>-1486555.6000000034</v>
      </c>
      <c r="AU224" s="6" t="e">
        <v>#REF!</v>
      </c>
      <c r="AV224" s="6" t="e">
        <v>#REF!</v>
      </c>
      <c r="AW224" s="77">
        <f t="shared" si="67"/>
        <v>41769554.810000002</v>
      </c>
      <c r="AX224" s="78">
        <v>10425186.939999999</v>
      </c>
      <c r="AY224" s="78">
        <v>4577737.76</v>
      </c>
      <c r="AZ224" s="78">
        <v>0</v>
      </c>
      <c r="BA224" s="78">
        <v>0</v>
      </c>
      <c r="BB224" s="78">
        <v>0</v>
      </c>
      <c r="BC224" s="78"/>
      <c r="BD224" s="78">
        <v>397015.54</v>
      </c>
      <c r="BE224" s="78">
        <v>0</v>
      </c>
      <c r="BF224" s="78">
        <v>17477225.23</v>
      </c>
      <c r="BG224" s="78">
        <v>7999958.25</v>
      </c>
      <c r="BH224" s="78">
        <v>0</v>
      </c>
      <c r="BI224" s="78">
        <v>0</v>
      </c>
      <c r="BJ224" s="78"/>
      <c r="BK224" s="119"/>
      <c r="BL224" s="121">
        <v>892431.09</v>
      </c>
      <c r="BM224" s="62">
        <f t="shared" si="68"/>
        <v>31127981.379999999</v>
      </c>
      <c r="BN224" s="55">
        <v>10425186.939999999</v>
      </c>
      <c r="BO224" s="55">
        <v>4577737.76</v>
      </c>
      <c r="BP224" s="55">
        <v>0</v>
      </c>
      <c r="BQ224" s="55">
        <v>0</v>
      </c>
      <c r="BR224" s="55">
        <v>0</v>
      </c>
      <c r="BS224" s="55"/>
      <c r="BT224" s="55">
        <v>397015.54</v>
      </c>
      <c r="BU224" s="55">
        <v>0</v>
      </c>
      <c r="BV224" s="55">
        <v>7920633.25</v>
      </c>
      <c r="BW224" s="55">
        <v>6914976.7999999998</v>
      </c>
      <c r="BX224" s="55">
        <v>0</v>
      </c>
      <c r="BY224" s="55">
        <v>0</v>
      </c>
      <c r="BZ224" s="55"/>
      <c r="CA224" s="63"/>
      <c r="CB224" s="64">
        <v>892431.09</v>
      </c>
      <c r="CD224" s="3"/>
      <c r="CE224" s="3"/>
    </row>
    <row r="225" spans="1:83" x14ac:dyDescent="0.25">
      <c r="A225" s="105">
        <f t="shared" si="69"/>
        <v>206</v>
      </c>
      <c r="B225" s="106">
        <f t="shared" si="71"/>
        <v>18</v>
      </c>
      <c r="C225" s="63" t="s">
        <v>75</v>
      </c>
      <c r="D225" s="55" t="s">
        <v>311</v>
      </c>
      <c r="E225" s="54">
        <v>1993</v>
      </c>
      <c r="F225" s="54">
        <v>1993</v>
      </c>
      <c r="G225" s="54" t="s">
        <v>64</v>
      </c>
      <c r="H225" s="54">
        <v>5</v>
      </c>
      <c r="I225" s="54">
        <v>3</v>
      </c>
      <c r="J225" s="55">
        <v>2627.7</v>
      </c>
      <c r="K225" s="63">
        <v>2328</v>
      </c>
      <c r="L225" s="63">
        <v>0</v>
      </c>
      <c r="M225" s="55">
        <v>101</v>
      </c>
      <c r="N225" s="63">
        <f t="shared" si="65"/>
        <v>4324086.9990356807</v>
      </c>
      <c r="O225" s="63"/>
      <c r="P225" s="55">
        <v>1052139.8500000001</v>
      </c>
      <c r="Q225" s="63"/>
      <c r="R225" s="63">
        <v>3271947.1490356801</v>
      </c>
      <c r="S225" s="55"/>
      <c r="T225" s="63">
        <v>0</v>
      </c>
      <c r="U225" s="63">
        <v>2251.35944975759</v>
      </c>
      <c r="V225" s="55">
        <v>2251.35944975759</v>
      </c>
      <c r="W225" s="109">
        <v>2023</v>
      </c>
      <c r="X225" s="6" t="e">
        <v>#REF!</v>
      </c>
      <c r="Z225" s="3">
        <f t="shared" si="70"/>
        <v>2025910.3767552015</v>
      </c>
      <c r="AA225" s="6">
        <v>0</v>
      </c>
      <c r="AB225" s="6">
        <v>0</v>
      </c>
      <c r="AC225" s="6">
        <v>1764474.7462764501</v>
      </c>
      <c r="AD225" s="6">
        <v>0</v>
      </c>
      <c r="AE225" s="6">
        <v>0</v>
      </c>
      <c r="AF225" s="6"/>
      <c r="AG225" s="6">
        <v>0</v>
      </c>
      <c r="AH225" s="6">
        <v>0</v>
      </c>
      <c r="AI225" s="6">
        <v>0</v>
      </c>
      <c r="AJ225" s="6">
        <v>0</v>
      </c>
      <c r="AK225" s="6">
        <v>0</v>
      </c>
      <c r="AL225" s="6">
        <v>0</v>
      </c>
      <c r="AM225" s="6">
        <v>202591.03767552</v>
      </c>
      <c r="AN225" s="6">
        <v>20259.103767551998</v>
      </c>
      <c r="AO225" s="6">
        <v>38585.4890356795</v>
      </c>
      <c r="AP225" s="61">
        <f>+N225-'Приложение №2'!E225</f>
        <v>0</v>
      </c>
      <c r="AQ225" s="1">
        <v>1113195.26</v>
      </c>
      <c r="AR225" s="3">
        <f>+(K225*10+L225*20)*12*0.85</f>
        <v>237456</v>
      </c>
      <c r="AS225" s="3">
        <f>+(K225*10+L225*20)*12*30</f>
        <v>8380800</v>
      </c>
      <c r="AT225" s="6">
        <f t="shared" si="66"/>
        <v>-8380800</v>
      </c>
      <c r="AW225" s="3">
        <f t="shared" si="67"/>
        <v>5241164.7990356795</v>
      </c>
      <c r="AX225" s="6">
        <v>0</v>
      </c>
      <c r="AY225" s="6">
        <v>0</v>
      </c>
      <c r="AZ225" s="6">
        <v>917077.8</v>
      </c>
      <c r="BA225" s="6">
        <v>0</v>
      </c>
      <c r="BB225" s="6">
        <v>0</v>
      </c>
      <c r="BC225" s="6"/>
      <c r="BD225" s="6"/>
      <c r="BE225" s="6">
        <v>0</v>
      </c>
      <c r="BF225" s="6">
        <v>0</v>
      </c>
      <c r="BG225" s="6">
        <v>4285501.51</v>
      </c>
      <c r="BH225" s="6">
        <v>0</v>
      </c>
      <c r="BI225" s="6">
        <v>0</v>
      </c>
      <c r="BJ225" s="6"/>
      <c r="BK225" s="6"/>
      <c r="BL225" s="6">
        <v>38585.4890356795</v>
      </c>
      <c r="BM225" s="62">
        <f t="shared" si="68"/>
        <v>5241164.7990356795</v>
      </c>
      <c r="BN225" s="55">
        <v>0</v>
      </c>
      <c r="BO225" s="55">
        <v>0</v>
      </c>
      <c r="BP225" s="55">
        <v>917077.8</v>
      </c>
      <c r="BQ225" s="55">
        <v>0</v>
      </c>
      <c r="BR225" s="55">
        <v>0</v>
      </c>
      <c r="BS225" s="55"/>
      <c r="BT225" s="55"/>
      <c r="BU225" s="55">
        <v>0</v>
      </c>
      <c r="BV225" s="55">
        <v>0</v>
      </c>
      <c r="BW225" s="55">
        <v>4285501.51</v>
      </c>
      <c r="BX225" s="55">
        <v>0</v>
      </c>
      <c r="BY225" s="55">
        <v>0</v>
      </c>
      <c r="BZ225" s="55"/>
      <c r="CA225" s="63"/>
      <c r="CB225" s="64">
        <v>38585.4890356795</v>
      </c>
      <c r="CD225" s="6"/>
      <c r="CE225" s="6"/>
    </row>
    <row r="226" spans="1:83" x14ac:dyDescent="0.25">
      <c r="A226" s="105">
        <f t="shared" si="69"/>
        <v>207</v>
      </c>
      <c r="B226" s="106">
        <f t="shared" si="71"/>
        <v>19</v>
      </c>
      <c r="C226" s="63" t="s">
        <v>75</v>
      </c>
      <c r="D226" s="55" t="s">
        <v>312</v>
      </c>
      <c r="E226" s="54">
        <v>1987</v>
      </c>
      <c r="F226" s="54">
        <v>2013</v>
      </c>
      <c r="G226" s="54" t="s">
        <v>64</v>
      </c>
      <c r="H226" s="54">
        <v>5</v>
      </c>
      <c r="I226" s="54">
        <v>6</v>
      </c>
      <c r="J226" s="55">
        <v>5156.5</v>
      </c>
      <c r="K226" s="63">
        <v>4643.1499999999996</v>
      </c>
      <c r="L226" s="63">
        <v>0</v>
      </c>
      <c r="M226" s="55">
        <v>198</v>
      </c>
      <c r="N226" s="112">
        <f t="shared" si="65"/>
        <v>10248171.673452999</v>
      </c>
      <c r="O226" s="63"/>
      <c r="P226" s="55"/>
      <c r="Q226" s="63"/>
      <c r="R226" s="63"/>
      <c r="S226" s="55">
        <v>10248171.673452999</v>
      </c>
      <c r="T226" s="63"/>
      <c r="U226" s="63">
        <v>3983.9674421835298</v>
      </c>
      <c r="V226" s="55">
        <v>3983.9674421835298</v>
      </c>
      <c r="W226" s="109">
        <v>2023</v>
      </c>
      <c r="X226" s="6" t="e">
        <v>#REF!</v>
      </c>
      <c r="Z226" s="110">
        <f t="shared" si="70"/>
        <v>19097413.753508821</v>
      </c>
      <c r="AA226" s="122">
        <v>9161875.3142818194</v>
      </c>
      <c r="AB226" s="122">
        <v>0</v>
      </c>
      <c r="AC226" s="122">
        <v>3500633.0988559499</v>
      </c>
      <c r="AD226" s="122">
        <v>3697386.8583204099</v>
      </c>
      <c r="AE226" s="122">
        <v>0</v>
      </c>
      <c r="AF226" s="122"/>
      <c r="AG226" s="122">
        <v>380388.55533241399</v>
      </c>
      <c r="AH226" s="122">
        <v>0</v>
      </c>
      <c r="AI226" s="122">
        <v>0</v>
      </c>
      <c r="AJ226" s="122">
        <v>0</v>
      </c>
      <c r="AK226" s="122">
        <v>0</v>
      </c>
      <c r="AL226" s="122">
        <v>0</v>
      </c>
      <c r="AM226" s="122">
        <v>1800079.6866966099</v>
      </c>
      <c r="AN226" s="123">
        <v>190974.137535088</v>
      </c>
      <c r="AO226" s="124">
        <v>366076.10248653003</v>
      </c>
      <c r="AP226" s="61">
        <f>+N226-'Приложение №2'!E226</f>
        <v>3.0686669051647186E-3</v>
      </c>
      <c r="AQ226" s="1">
        <v>2116377.04</v>
      </c>
      <c r="AR226" s="3">
        <f>+(K226*10+L226*20)*12*0.85</f>
        <v>473601.3</v>
      </c>
      <c r="AS226" s="3">
        <f>+(K226*10+L226*20)*12*30</f>
        <v>16715340</v>
      </c>
      <c r="AT226" s="6">
        <f t="shared" si="66"/>
        <v>-6467168.3265470006</v>
      </c>
      <c r="AU226" s="6" t="e">
        <v>#REF!</v>
      </c>
      <c r="AV226" s="6" t="e">
        <v>#REF!</v>
      </c>
      <c r="AW226" s="110">
        <f t="shared" si="67"/>
        <v>18498158.42917446</v>
      </c>
      <c r="AX226" s="122">
        <v>9987277.6916511394</v>
      </c>
      <c r="AY226" s="122">
        <v>0</v>
      </c>
      <c r="AZ226" s="122">
        <v>3500633.0988559499</v>
      </c>
      <c r="BA226" s="122">
        <v>4233998.4929506201</v>
      </c>
      <c r="BB226" s="122">
        <v>0</v>
      </c>
      <c r="BC226" s="122"/>
      <c r="BD226" s="122">
        <v>380388.55533241399</v>
      </c>
      <c r="BE226" s="122">
        <v>0</v>
      </c>
      <c r="BF226" s="122">
        <v>0</v>
      </c>
      <c r="BG226" s="122">
        <v>0</v>
      </c>
      <c r="BH226" s="122">
        <v>0</v>
      </c>
      <c r="BI226" s="122">
        <v>0</v>
      </c>
      <c r="BJ226" s="122"/>
      <c r="BK226" s="123"/>
      <c r="BL226" s="125">
        <v>395860.59038433299</v>
      </c>
      <c r="BM226" s="62">
        <f t="shared" si="68"/>
        <v>14129193.324572697</v>
      </c>
      <c r="BN226" s="55">
        <v>6213317.0199999996</v>
      </c>
      <c r="BO226" s="55">
        <v>0</v>
      </c>
      <c r="BP226" s="55">
        <v>3500633.0988559499</v>
      </c>
      <c r="BQ226" s="55">
        <v>3638994.06</v>
      </c>
      <c r="BR226" s="55">
        <v>0</v>
      </c>
      <c r="BS226" s="55"/>
      <c r="BT226" s="55">
        <v>380388.55533241399</v>
      </c>
      <c r="BU226" s="55">
        <v>0</v>
      </c>
      <c r="BV226" s="55">
        <v>0</v>
      </c>
      <c r="BW226" s="55">
        <v>0</v>
      </c>
      <c r="BX226" s="55">
        <v>0</v>
      </c>
      <c r="BY226" s="55">
        <v>0</v>
      </c>
      <c r="BZ226" s="55"/>
      <c r="CA226" s="63"/>
      <c r="CB226" s="64">
        <v>395860.59038433299</v>
      </c>
      <c r="CD226" s="3"/>
    </row>
    <row r="227" spans="1:83" x14ac:dyDescent="0.25">
      <c r="A227" s="105">
        <f t="shared" si="69"/>
        <v>208</v>
      </c>
      <c r="B227" s="106">
        <f t="shared" si="71"/>
        <v>20</v>
      </c>
      <c r="C227" s="53" t="s">
        <v>75</v>
      </c>
      <c r="D227" s="53" t="s">
        <v>313</v>
      </c>
      <c r="E227" s="54">
        <v>1987</v>
      </c>
      <c r="F227" s="54">
        <v>2008</v>
      </c>
      <c r="G227" s="54" t="s">
        <v>64</v>
      </c>
      <c r="H227" s="54">
        <v>5</v>
      </c>
      <c r="I227" s="54">
        <v>6</v>
      </c>
      <c r="J227" s="55">
        <v>5142.3999999999996</v>
      </c>
      <c r="K227" s="55">
        <v>4585</v>
      </c>
      <c r="L227" s="55">
        <v>0</v>
      </c>
      <c r="M227" s="56">
        <v>184</v>
      </c>
      <c r="N227" s="112">
        <f t="shared" si="65"/>
        <v>10141593.149027361</v>
      </c>
      <c r="O227" s="55"/>
      <c r="P227" s="63"/>
      <c r="Q227" s="63"/>
      <c r="R227" s="63">
        <v>1178120.58</v>
      </c>
      <c r="S227" s="63">
        <v>8963472.5690273605</v>
      </c>
      <c r="T227" s="63">
        <v>0</v>
      </c>
      <c r="U227" s="55">
        <v>3099.1669824455098</v>
      </c>
      <c r="V227" s="55">
        <v>3099.1669824455098</v>
      </c>
      <c r="W227" s="109">
        <v>2023</v>
      </c>
      <c r="X227" s="6" t="e">
        <v>#REF!</v>
      </c>
      <c r="Z227" s="62">
        <f t="shared" si="70"/>
        <v>18940870.804019678</v>
      </c>
      <c r="AA227" s="55">
        <v>9086774.7272043694</v>
      </c>
      <c r="AB227" s="55">
        <v>0</v>
      </c>
      <c r="AC227" s="55">
        <v>3471938.1437459402</v>
      </c>
      <c r="AD227" s="55">
        <v>3667079.0977160502</v>
      </c>
      <c r="AE227" s="55">
        <v>0</v>
      </c>
      <c r="AF227" s="55"/>
      <c r="AG227" s="55">
        <v>377270.48148366</v>
      </c>
      <c r="AH227" s="55">
        <v>0</v>
      </c>
      <c r="AI227" s="55">
        <v>0</v>
      </c>
      <c r="AJ227" s="55">
        <v>0</v>
      </c>
      <c r="AK227" s="55">
        <v>0</v>
      </c>
      <c r="AL227" s="55">
        <v>0</v>
      </c>
      <c r="AM227" s="55">
        <v>1785324.2969298</v>
      </c>
      <c r="AN227" s="63">
        <v>189408.708040197</v>
      </c>
      <c r="AO227" s="64">
        <v>363075.34889966302</v>
      </c>
      <c r="AP227" s="61">
        <f>+N227-'Приложение №2'!E227</f>
        <v>0</v>
      </c>
      <c r="AQ227" s="1">
        <v>2190820.19</v>
      </c>
      <c r="AR227" s="3">
        <f>+(K227*10+L227*20)*12*0.85</f>
        <v>467670</v>
      </c>
      <c r="AS227" s="3">
        <f>+(K227*10+L227*20)*12*30</f>
        <v>16506000</v>
      </c>
      <c r="AT227" s="6">
        <f t="shared" si="66"/>
        <v>-7542527.4309726395</v>
      </c>
      <c r="AU227" s="6" t="e">
        <v>#REF!</v>
      </c>
      <c r="AV227" s="6" t="e">
        <v>#REF!</v>
      </c>
      <c r="AW227" s="62">
        <f t="shared" si="67"/>
        <v>14209680.614512645</v>
      </c>
      <c r="AX227" s="55">
        <v>9904894.5340016205</v>
      </c>
      <c r="AY227" s="55">
        <v>0</v>
      </c>
      <c r="AZ227" s="55"/>
      <c r="BA227" s="55">
        <v>3534919.74</v>
      </c>
      <c r="BB227" s="55">
        <v>0</v>
      </c>
      <c r="BC227" s="55"/>
      <c r="BD227" s="55">
        <v>377270.48148366</v>
      </c>
      <c r="BE227" s="55">
        <v>0</v>
      </c>
      <c r="BF227" s="55">
        <v>0</v>
      </c>
      <c r="BG227" s="55">
        <v>0</v>
      </c>
      <c r="BH227" s="55">
        <v>0</v>
      </c>
      <c r="BI227" s="55">
        <v>0</v>
      </c>
      <c r="BJ227" s="55"/>
      <c r="BK227" s="63"/>
      <c r="BL227" s="111">
        <v>392595.85902736301</v>
      </c>
      <c r="BM227" s="62">
        <f t="shared" si="68"/>
        <v>10518863.630511023</v>
      </c>
      <c r="BN227" s="55">
        <v>6214077.5499999998</v>
      </c>
      <c r="BO227" s="55">
        <v>0</v>
      </c>
      <c r="BP227" s="55"/>
      <c r="BQ227" s="55">
        <v>3534919.74</v>
      </c>
      <c r="BR227" s="55">
        <v>0</v>
      </c>
      <c r="BS227" s="55"/>
      <c r="BT227" s="55">
        <v>377270.48148366</v>
      </c>
      <c r="BU227" s="55">
        <v>0</v>
      </c>
      <c r="BV227" s="55">
        <v>0</v>
      </c>
      <c r="BW227" s="55">
        <v>0</v>
      </c>
      <c r="BX227" s="55">
        <v>0</v>
      </c>
      <c r="BY227" s="55">
        <v>0</v>
      </c>
      <c r="BZ227" s="55"/>
      <c r="CA227" s="63"/>
      <c r="CB227" s="64">
        <v>392595.85902736301</v>
      </c>
      <c r="CD227" s="6"/>
    </row>
    <row r="228" spans="1:83" x14ac:dyDescent="0.25">
      <c r="A228" s="105">
        <f t="shared" si="69"/>
        <v>209</v>
      </c>
      <c r="B228" s="106">
        <f t="shared" si="71"/>
        <v>21</v>
      </c>
      <c r="C228" s="53" t="s">
        <v>75</v>
      </c>
      <c r="D228" s="53" t="s">
        <v>314</v>
      </c>
      <c r="E228" s="54">
        <v>1988</v>
      </c>
      <c r="F228" s="54">
        <v>2008</v>
      </c>
      <c r="G228" s="54" t="s">
        <v>64</v>
      </c>
      <c r="H228" s="54">
        <v>5</v>
      </c>
      <c r="I228" s="54">
        <v>6</v>
      </c>
      <c r="J228" s="55">
        <v>5139.5</v>
      </c>
      <c r="K228" s="55">
        <v>4552.6000000000004</v>
      </c>
      <c r="L228" s="55">
        <v>68.400000000000006</v>
      </c>
      <c r="M228" s="56">
        <v>203</v>
      </c>
      <c r="N228" s="112">
        <f t="shared" si="65"/>
        <v>10136691.28490378</v>
      </c>
      <c r="O228" s="55"/>
      <c r="P228" s="63"/>
      <c r="Q228" s="63"/>
      <c r="R228" s="63">
        <v>1364569.88490378</v>
      </c>
      <c r="S228" s="63">
        <v>8772121.4000000004</v>
      </c>
      <c r="T228" s="63">
        <v>0</v>
      </c>
      <c r="U228" s="55">
        <v>3233.4583557799401</v>
      </c>
      <c r="V228" s="55">
        <v>3233.4583557799401</v>
      </c>
      <c r="W228" s="109">
        <v>2023</v>
      </c>
      <c r="X228" s="6" t="e">
        <v>#REF!</v>
      </c>
      <c r="Z228" s="62">
        <f t="shared" si="70"/>
        <v>19009395.42381734</v>
      </c>
      <c r="AA228" s="55">
        <v>9139483.8463669103</v>
      </c>
      <c r="AB228" s="55">
        <v>0</v>
      </c>
      <c r="AC228" s="55">
        <v>3475648.0455939299</v>
      </c>
      <c r="AD228" s="55">
        <v>3670997.5153139699</v>
      </c>
      <c r="AE228" s="55">
        <v>0</v>
      </c>
      <c r="AF228" s="55"/>
      <c r="AG228" s="55">
        <v>377673.60976489802</v>
      </c>
      <c r="AH228" s="55">
        <v>0</v>
      </c>
      <c r="AI228" s="55">
        <v>0</v>
      </c>
      <c r="AJ228" s="55">
        <v>0</v>
      </c>
      <c r="AK228" s="55">
        <v>0</v>
      </c>
      <c r="AL228" s="55">
        <v>0</v>
      </c>
      <c r="AM228" s="55">
        <v>1791094.8304623601</v>
      </c>
      <c r="AN228" s="63">
        <v>190093.954238173</v>
      </c>
      <c r="AO228" s="64">
        <v>364403.62207709998</v>
      </c>
      <c r="AP228" s="61">
        <f>+N228-'Приложение №2'!E228</f>
        <v>0</v>
      </c>
      <c r="AQ228" s="1">
        <v>2180464.7799999998</v>
      </c>
      <c r="AR228" s="3">
        <f>+(K228*10+L228*20)*12*0.85</f>
        <v>478318.8</v>
      </c>
      <c r="AS228" s="3">
        <f>+(K228*10+L228*20)*12*30</f>
        <v>16881840</v>
      </c>
      <c r="AT228" s="6">
        <f t="shared" si="66"/>
        <v>-8109718.5999999996</v>
      </c>
      <c r="AU228" s="6" t="e">
        <v>#REF!</v>
      </c>
      <c r="AV228" s="6" t="e">
        <v>#REF!</v>
      </c>
      <c r="AW228" s="62">
        <f t="shared" si="67"/>
        <v>14941811.062059103</v>
      </c>
      <c r="AX228" s="55">
        <v>9966368.6576054394</v>
      </c>
      <c r="AY228" s="55">
        <v>0</v>
      </c>
      <c r="AZ228" s="55"/>
      <c r="BA228" s="55">
        <v>4203635.1697849901</v>
      </c>
      <c r="BB228" s="55">
        <v>0</v>
      </c>
      <c r="BC228" s="55"/>
      <c r="BD228" s="55">
        <v>377673.60976489802</v>
      </c>
      <c r="BE228" s="55">
        <v>0</v>
      </c>
      <c r="BF228" s="55">
        <v>0</v>
      </c>
      <c r="BG228" s="55">
        <v>0</v>
      </c>
      <c r="BH228" s="55">
        <v>0</v>
      </c>
      <c r="BI228" s="55">
        <v>0</v>
      </c>
      <c r="BJ228" s="55"/>
      <c r="BK228" s="63"/>
      <c r="BL228" s="111">
        <v>394133.62490377499</v>
      </c>
      <c r="BM228" s="62">
        <f t="shared" si="68"/>
        <v>10514364.894668674</v>
      </c>
      <c r="BN228" s="55">
        <v>6221126</v>
      </c>
      <c r="BO228" s="55">
        <v>0</v>
      </c>
      <c r="BP228" s="55"/>
      <c r="BQ228" s="55">
        <v>3521431.66</v>
      </c>
      <c r="BR228" s="55">
        <v>0</v>
      </c>
      <c r="BS228" s="55"/>
      <c r="BT228" s="55">
        <v>377673.60976489802</v>
      </c>
      <c r="BU228" s="55">
        <v>0</v>
      </c>
      <c r="BV228" s="55">
        <v>0</v>
      </c>
      <c r="BW228" s="55">
        <v>0</v>
      </c>
      <c r="BX228" s="55">
        <v>0</v>
      </c>
      <c r="BY228" s="55">
        <v>0</v>
      </c>
      <c r="BZ228" s="55"/>
      <c r="CA228" s="63"/>
      <c r="CB228" s="64">
        <v>394133.62490377499</v>
      </c>
      <c r="CD228" s="3"/>
    </row>
    <row r="229" spans="1:83" x14ac:dyDescent="0.25">
      <c r="A229" s="105">
        <f t="shared" si="69"/>
        <v>210</v>
      </c>
      <c r="B229" s="106">
        <f t="shared" si="71"/>
        <v>22</v>
      </c>
      <c r="C229" s="53" t="s">
        <v>75</v>
      </c>
      <c r="D229" s="53" t="s">
        <v>315</v>
      </c>
      <c r="E229" s="54">
        <v>1991</v>
      </c>
      <c r="F229" s="54">
        <v>2017</v>
      </c>
      <c r="G229" s="54" t="s">
        <v>64</v>
      </c>
      <c r="H229" s="54">
        <v>9</v>
      </c>
      <c r="I229" s="54">
        <v>1</v>
      </c>
      <c r="J229" s="55">
        <v>3222.4</v>
      </c>
      <c r="K229" s="55">
        <v>2756.2</v>
      </c>
      <c r="L229" s="55">
        <v>0</v>
      </c>
      <c r="M229" s="56">
        <v>108</v>
      </c>
      <c r="N229" s="112">
        <f t="shared" si="65"/>
        <v>10408804.01005356</v>
      </c>
      <c r="O229" s="55"/>
      <c r="P229" s="63"/>
      <c r="Q229" s="63"/>
      <c r="R229" s="63">
        <v>2573584.5079999999</v>
      </c>
      <c r="S229" s="63">
        <v>7835219.5020535598</v>
      </c>
      <c r="T229" s="63"/>
      <c r="U229" s="63">
        <v>7166.9525732224301</v>
      </c>
      <c r="V229" s="63">
        <v>1239.2830200640001</v>
      </c>
      <c r="W229" s="109">
        <v>2023</v>
      </c>
      <c r="X229" s="6" t="e">
        <v>#REF!</v>
      </c>
      <c r="Z229" s="62">
        <f t="shared" si="70"/>
        <v>19471909.912315655</v>
      </c>
      <c r="AA229" s="55">
        <v>0</v>
      </c>
      <c r="AB229" s="55">
        <v>0</v>
      </c>
      <c r="AC229" s="55">
        <v>0</v>
      </c>
      <c r="AD229" s="55">
        <v>0</v>
      </c>
      <c r="AE229" s="55">
        <v>0</v>
      </c>
      <c r="AF229" s="55"/>
      <c r="AG229" s="55">
        <v>0</v>
      </c>
      <c r="AH229" s="55">
        <v>0</v>
      </c>
      <c r="AI229" s="55">
        <v>0</v>
      </c>
      <c r="AJ229" s="55">
        <v>0</v>
      </c>
      <c r="AK229" s="55">
        <v>18930963.0422621</v>
      </c>
      <c r="AL229" s="55">
        <v>0</v>
      </c>
      <c r="AM229" s="55">
        <v>102965.05</v>
      </c>
      <c r="AN229" s="55">
        <v>24000</v>
      </c>
      <c r="AO229" s="64">
        <v>413981.82005355501</v>
      </c>
      <c r="AP229" s="61">
        <f>+N229-'Приложение №2'!E229</f>
        <v>0</v>
      </c>
      <c r="AQ229" s="65">
        <v>2181404.81</v>
      </c>
      <c r="AR229" s="3">
        <f>+(K229*13.95+L229*23.65)*12*0.85</f>
        <v>392179.69799999997</v>
      </c>
      <c r="AS229" s="3">
        <f>+(K229*13.95+L229*23.65)*12*30</f>
        <v>13841636.4</v>
      </c>
      <c r="AT229" s="6">
        <f t="shared" si="66"/>
        <v>-6006416.8979464406</v>
      </c>
      <c r="AU229" s="6" t="e">
        <v>#REF!</v>
      </c>
      <c r="AV229" s="6" t="e">
        <v>#REF!</v>
      </c>
      <c r="AW229" s="110">
        <f t="shared" si="67"/>
        <v>19753554.682315655</v>
      </c>
      <c r="AX229" s="55">
        <v>0</v>
      </c>
      <c r="AY229" s="55">
        <v>0</v>
      </c>
      <c r="AZ229" s="55">
        <v>0</v>
      </c>
      <c r="BA229" s="55">
        <v>0</v>
      </c>
      <c r="BB229" s="55">
        <v>0</v>
      </c>
      <c r="BC229" s="55"/>
      <c r="BD229" s="55"/>
      <c r="BE229" s="55">
        <v>0</v>
      </c>
      <c r="BF229" s="55">
        <v>0</v>
      </c>
      <c r="BG229" s="55">
        <v>0</v>
      </c>
      <c r="BH229" s="55">
        <v>18930963.0422621</v>
      </c>
      <c r="BI229" s="55">
        <v>0</v>
      </c>
      <c r="BJ229" s="55">
        <v>408609.82</v>
      </c>
      <c r="BK229" s="55"/>
      <c r="BL229" s="111">
        <v>413981.82005355501</v>
      </c>
      <c r="BM229" s="110">
        <f t="shared" si="68"/>
        <v>19753554.682315655</v>
      </c>
      <c r="BN229" s="55">
        <v>0</v>
      </c>
      <c r="BO229" s="55">
        <v>0</v>
      </c>
      <c r="BP229" s="55">
        <v>0</v>
      </c>
      <c r="BQ229" s="55">
        <v>0</v>
      </c>
      <c r="BR229" s="55">
        <v>0</v>
      </c>
      <c r="BS229" s="55"/>
      <c r="BT229" s="55"/>
      <c r="BU229" s="55">
        <v>0</v>
      </c>
      <c r="BV229" s="55">
        <v>0</v>
      </c>
      <c r="BW229" s="55">
        <v>0</v>
      </c>
      <c r="BX229" s="55">
        <v>18930963.0422621</v>
      </c>
      <c r="BY229" s="55">
        <v>0</v>
      </c>
      <c r="BZ229" s="55">
        <v>408609.82</v>
      </c>
      <c r="CA229" s="55"/>
      <c r="CB229" s="64">
        <v>413981.82005355501</v>
      </c>
      <c r="CD229" s="6"/>
    </row>
    <row r="230" spans="1:83" x14ac:dyDescent="0.25">
      <c r="A230" s="105">
        <f t="shared" si="69"/>
        <v>211</v>
      </c>
      <c r="B230" s="106">
        <f t="shared" si="71"/>
        <v>23</v>
      </c>
      <c r="C230" s="53" t="s">
        <v>75</v>
      </c>
      <c r="D230" s="53" t="s">
        <v>316</v>
      </c>
      <c r="E230" s="54">
        <v>1991</v>
      </c>
      <c r="F230" s="54">
        <v>2017</v>
      </c>
      <c r="G230" s="54" t="s">
        <v>64</v>
      </c>
      <c r="H230" s="54">
        <v>9</v>
      </c>
      <c r="I230" s="54">
        <v>1</v>
      </c>
      <c r="J230" s="55">
        <v>3271</v>
      </c>
      <c r="K230" s="55">
        <v>2814.6</v>
      </c>
      <c r="L230" s="55">
        <v>0</v>
      </c>
      <c r="M230" s="56">
        <v>93</v>
      </c>
      <c r="N230" s="112">
        <f t="shared" si="65"/>
        <v>4255569.1841890002</v>
      </c>
      <c r="O230" s="55"/>
      <c r="P230" s="63"/>
      <c r="Q230" s="63"/>
      <c r="R230" s="63">
        <v>1171805.3941889999</v>
      </c>
      <c r="S230" s="63">
        <v>3083763.79</v>
      </c>
      <c r="T230" s="63"/>
      <c r="U230" s="63">
        <v>3490.9418391755999</v>
      </c>
      <c r="V230" s="63">
        <v>1243.2830200640001</v>
      </c>
      <c r="W230" s="109">
        <v>2023</v>
      </c>
      <c r="X230" s="6" t="e">
        <v>#REF!</v>
      </c>
      <c r="Z230" s="62">
        <f t="shared" si="70"/>
        <v>12536948.214155668</v>
      </c>
      <c r="AA230" s="55">
        <v>6765674.3157313103</v>
      </c>
      <c r="AB230" s="55">
        <v>2706914.9973932002</v>
      </c>
      <c r="AC230" s="55">
        <v>0</v>
      </c>
      <c r="AD230" s="55">
        <v>1277658.235625</v>
      </c>
      <c r="AE230" s="55">
        <v>0</v>
      </c>
      <c r="AF230" s="55"/>
      <c r="AG230" s="55">
        <v>300589.46674277697</v>
      </c>
      <c r="AH230" s="55">
        <v>0</v>
      </c>
      <c r="AI230" s="55">
        <v>0</v>
      </c>
      <c r="AJ230" s="55">
        <v>0</v>
      </c>
      <c r="AK230" s="55">
        <v>0</v>
      </c>
      <c r="AL230" s="55">
        <v>0</v>
      </c>
      <c r="AM230" s="55">
        <v>1119082.29272095</v>
      </c>
      <c r="AN230" s="63">
        <v>125369.482141557</v>
      </c>
      <c r="AO230" s="64">
        <v>241659.42380087401</v>
      </c>
      <c r="AP230" s="61">
        <f>+N230-'Приложение №2'!E230</f>
        <v>-9.6118738874793053E-3</v>
      </c>
      <c r="AQ230" s="65">
        <v>2237132.42</v>
      </c>
      <c r="AR230" s="3">
        <f>+(K230*13.95+L230*23.65)*12*0.85</f>
        <v>400489.43399999995</v>
      </c>
      <c r="AS230" s="3">
        <f>+(K230*13.95+L230*23.65)*12*30</f>
        <v>14134921.199999999</v>
      </c>
      <c r="AT230" s="6">
        <f t="shared" si="66"/>
        <v>-11051157.41</v>
      </c>
      <c r="AU230" s="6" t="e">
        <v>#REF!</v>
      </c>
      <c r="AV230" s="6" t="e">
        <v>#REF!</v>
      </c>
      <c r="AW230" s="110">
        <f t="shared" si="67"/>
        <v>9825604.9005436506</v>
      </c>
      <c r="AX230" s="55">
        <v>4922338.54</v>
      </c>
      <c r="AY230" s="55">
        <v>2955743</v>
      </c>
      <c r="AZ230" s="55">
        <v>0</v>
      </c>
      <c r="BA230" s="55">
        <v>1405274.47</v>
      </c>
      <c r="BB230" s="55">
        <v>0</v>
      </c>
      <c r="BC230" s="55"/>
      <c r="BD230" s="55">
        <v>300589.46674277697</v>
      </c>
      <c r="BE230" s="55">
        <v>0</v>
      </c>
      <c r="BF230" s="55">
        <v>0</v>
      </c>
      <c r="BG230" s="55">
        <v>0</v>
      </c>
      <c r="BH230" s="55">
        <v>0</v>
      </c>
      <c r="BI230" s="55">
        <v>0</v>
      </c>
      <c r="BJ230" s="55"/>
      <c r="BK230" s="63"/>
      <c r="BL230" s="111">
        <v>241659.42380087401</v>
      </c>
      <c r="BM230" s="110">
        <f t="shared" si="68"/>
        <v>9478497.2005436514</v>
      </c>
      <c r="BN230" s="55">
        <v>4922338.54</v>
      </c>
      <c r="BO230" s="55">
        <v>2639754.41</v>
      </c>
      <c r="BP230" s="55">
        <v>0</v>
      </c>
      <c r="BQ230" s="55">
        <v>1374155.36</v>
      </c>
      <c r="BR230" s="55">
        <v>0</v>
      </c>
      <c r="BS230" s="55"/>
      <c r="BT230" s="55">
        <v>300589.46674277697</v>
      </c>
      <c r="BU230" s="55">
        <v>0</v>
      </c>
      <c r="BV230" s="55">
        <v>0</v>
      </c>
      <c r="BW230" s="55">
        <v>0</v>
      </c>
      <c r="BX230" s="55">
        <v>0</v>
      </c>
      <c r="BY230" s="55">
        <v>0</v>
      </c>
      <c r="BZ230" s="55"/>
      <c r="CA230" s="63"/>
      <c r="CB230" s="64">
        <v>241659.42380087401</v>
      </c>
      <c r="CD230" s="3"/>
    </row>
    <row r="231" spans="1:83" x14ac:dyDescent="0.25">
      <c r="A231" s="105">
        <f t="shared" si="69"/>
        <v>212</v>
      </c>
      <c r="B231" s="106">
        <f t="shared" si="71"/>
        <v>24</v>
      </c>
      <c r="C231" s="53" t="s">
        <v>75</v>
      </c>
      <c r="D231" s="53" t="s">
        <v>317</v>
      </c>
      <c r="E231" s="54">
        <v>1991</v>
      </c>
      <c r="F231" s="54">
        <v>2009</v>
      </c>
      <c r="G231" s="54" t="s">
        <v>64</v>
      </c>
      <c r="H231" s="54">
        <v>5</v>
      </c>
      <c r="I231" s="54">
        <v>2</v>
      </c>
      <c r="J231" s="55">
        <v>3315.2</v>
      </c>
      <c r="K231" s="55">
        <v>2614.6999999999998</v>
      </c>
      <c r="L231" s="55">
        <v>667.8</v>
      </c>
      <c r="M231" s="56">
        <v>88</v>
      </c>
      <c r="N231" s="112">
        <f t="shared" si="65"/>
        <v>1946581.25937746</v>
      </c>
      <c r="O231" s="55"/>
      <c r="P231" s="63"/>
      <c r="Q231" s="63"/>
      <c r="R231" s="63">
        <v>740039.99340000004</v>
      </c>
      <c r="S231" s="63">
        <v>1206541.26597746</v>
      </c>
      <c r="T231" s="113"/>
      <c r="U231" s="63">
        <v>1032.78654360319</v>
      </c>
      <c r="V231" s="63">
        <v>1032.78654360319</v>
      </c>
      <c r="W231" s="109">
        <v>2023</v>
      </c>
      <c r="X231" s="6" t="e">
        <v>#REF!</v>
      </c>
      <c r="Z231" s="62">
        <f t="shared" si="70"/>
        <v>5124059.0709295096</v>
      </c>
      <c r="AA231" s="55">
        <v>0</v>
      </c>
      <c r="AB231" s="55">
        <v>0</v>
      </c>
      <c r="AC231" s="55">
        <v>2132209.3029237199</v>
      </c>
      <c r="AD231" s="55">
        <v>2252050.53862833</v>
      </c>
      <c r="AE231" s="55">
        <v>0</v>
      </c>
      <c r="AF231" s="55"/>
      <c r="AG231" s="55">
        <v>0</v>
      </c>
      <c r="AH231" s="55">
        <v>0</v>
      </c>
      <c r="AI231" s="55">
        <v>0</v>
      </c>
      <c r="AJ231" s="55">
        <v>0</v>
      </c>
      <c r="AK231" s="55">
        <v>0</v>
      </c>
      <c r="AL231" s="55">
        <v>0</v>
      </c>
      <c r="AM231" s="55">
        <v>592683.75556044595</v>
      </c>
      <c r="AN231" s="63">
        <v>51240.590709295102</v>
      </c>
      <c r="AO231" s="64">
        <v>95874.883107719099</v>
      </c>
      <c r="AP231" s="61">
        <f>+N231-'Приложение №2'!E231</f>
        <v>-3.7302589043974876E-3</v>
      </c>
      <c r="AQ231" s="1">
        <v>1371575.02</v>
      </c>
      <c r="AR231" s="3">
        <f>+(K231*10+L231*20)*12*0.85</f>
        <v>402930.6</v>
      </c>
      <c r="AS231" s="3">
        <f>+(K231*10+L231*20)*12*30</f>
        <v>14221080</v>
      </c>
      <c r="AT231" s="6">
        <f t="shared" si="66"/>
        <v>-13014538.734022539</v>
      </c>
      <c r="AW231" s="62">
        <f t="shared" si="67"/>
        <v>3390121.8293774603</v>
      </c>
      <c r="AX231" s="55">
        <v>0</v>
      </c>
      <c r="AY231" s="55">
        <v>0</v>
      </c>
      <c r="AZ231" s="55">
        <v>927231.11</v>
      </c>
      <c r="BA231" s="55">
        <v>1740087.49</v>
      </c>
      <c r="BB231" s="55">
        <v>0</v>
      </c>
      <c r="BC231" s="55"/>
      <c r="BD231" s="55"/>
      <c r="BE231" s="55">
        <v>0</v>
      </c>
      <c r="BF231" s="55">
        <v>0</v>
      </c>
      <c r="BG231" s="55">
        <v>0</v>
      </c>
      <c r="BH231" s="55">
        <v>0</v>
      </c>
      <c r="BI231" s="55">
        <v>0</v>
      </c>
      <c r="BJ231" s="55">
        <v>575687.75556044595</v>
      </c>
      <c r="BK231" s="63">
        <v>51240.590709295102</v>
      </c>
      <c r="BL231" s="111">
        <v>95874.883107719099</v>
      </c>
      <c r="BM231" s="62">
        <f t="shared" si="68"/>
        <v>3390121.8293774603</v>
      </c>
      <c r="BN231" s="55">
        <v>0</v>
      </c>
      <c r="BO231" s="55">
        <v>0</v>
      </c>
      <c r="BP231" s="55">
        <v>927231.11</v>
      </c>
      <c r="BQ231" s="55">
        <v>1740087.49</v>
      </c>
      <c r="BR231" s="55">
        <v>0</v>
      </c>
      <c r="BS231" s="55"/>
      <c r="BT231" s="55"/>
      <c r="BU231" s="55">
        <v>0</v>
      </c>
      <c r="BV231" s="55">
        <v>0</v>
      </c>
      <c r="BW231" s="55">
        <v>0</v>
      </c>
      <c r="BX231" s="55">
        <v>0</v>
      </c>
      <c r="BY231" s="55">
        <v>0</v>
      </c>
      <c r="BZ231" s="55">
        <v>575687.75556044595</v>
      </c>
      <c r="CA231" s="63">
        <v>51240.590709295102</v>
      </c>
      <c r="CB231" s="64">
        <v>95874.883107719099</v>
      </c>
      <c r="CD231" s="6"/>
    </row>
    <row r="232" spans="1:83" x14ac:dyDescent="0.25">
      <c r="A232" s="105">
        <f t="shared" si="69"/>
        <v>213</v>
      </c>
      <c r="B232" s="106">
        <f t="shared" si="71"/>
        <v>25</v>
      </c>
      <c r="C232" s="107" t="s">
        <v>108</v>
      </c>
      <c r="D232" s="107" t="s">
        <v>318</v>
      </c>
      <c r="E232" s="54">
        <v>1991</v>
      </c>
      <c r="F232" s="54">
        <v>2016</v>
      </c>
      <c r="G232" s="54" t="s">
        <v>64</v>
      </c>
      <c r="H232" s="54">
        <v>5</v>
      </c>
      <c r="I232" s="54">
        <v>4</v>
      </c>
      <c r="J232" s="55">
        <v>4887.3</v>
      </c>
      <c r="K232" s="55">
        <v>4825.5</v>
      </c>
      <c r="L232" s="55">
        <v>0</v>
      </c>
      <c r="M232" s="56">
        <v>240</v>
      </c>
      <c r="N232" s="108">
        <f t="shared" si="65"/>
        <v>5122851.7011479996</v>
      </c>
      <c r="O232" s="63"/>
      <c r="P232" s="63">
        <v>2042724.8</v>
      </c>
      <c r="Q232" s="63"/>
      <c r="R232" s="63">
        <v>2337821.67</v>
      </c>
      <c r="S232" s="63">
        <v>742305.23114799999</v>
      </c>
      <c r="T232" s="63"/>
      <c r="U232" s="55">
        <v>942.38352526121605</v>
      </c>
      <c r="V232" s="55">
        <v>942.38352526121605</v>
      </c>
      <c r="W232" s="109">
        <v>2023</v>
      </c>
      <c r="X232" s="6" t="e">
        <v>#REF!</v>
      </c>
      <c r="Z232" s="62">
        <f t="shared" si="70"/>
        <v>16330841.700000001</v>
      </c>
      <c r="AA232" s="55">
        <v>0</v>
      </c>
      <c r="AB232" s="55">
        <v>0</v>
      </c>
      <c r="AC232" s="55">
        <v>0</v>
      </c>
      <c r="AD232" s="55">
        <v>0</v>
      </c>
      <c r="AE232" s="55">
        <v>0</v>
      </c>
      <c r="AF232" s="55"/>
      <c r="AG232" s="55">
        <v>0</v>
      </c>
      <c r="AH232" s="55">
        <v>0</v>
      </c>
      <c r="AI232" s="55">
        <v>15836071.998852</v>
      </c>
      <c r="AJ232" s="55">
        <v>0</v>
      </c>
      <c r="AK232" s="55">
        <v>0</v>
      </c>
      <c r="AL232" s="55">
        <v>0</v>
      </c>
      <c r="AM232" s="55">
        <v>101648.88</v>
      </c>
      <c r="AN232" s="55">
        <v>46818</v>
      </c>
      <c r="AO232" s="64">
        <v>346302.82114800002</v>
      </c>
      <c r="AP232" s="61">
        <f>+N232-'Приложение №2'!E232</f>
        <v>0</v>
      </c>
      <c r="AQ232" s="1">
        <v>1845620.67</v>
      </c>
      <c r="AR232" s="3">
        <f>+(K232*10+L232*20)*12*0.85</f>
        <v>492201</v>
      </c>
      <c r="AS232" s="3">
        <f>+(K232*10+L232*20)*12*30</f>
        <v>17371800</v>
      </c>
      <c r="AT232" s="6">
        <f t="shared" si="66"/>
        <v>-16629494.768851999</v>
      </c>
      <c r="AU232" s="6" t="e">
        <v>#REF!</v>
      </c>
      <c r="AV232" s="6" t="e">
        <v>#REF!</v>
      </c>
      <c r="AW232" s="62">
        <f t="shared" si="67"/>
        <v>4547471.7011479996</v>
      </c>
      <c r="AX232" s="55">
        <v>0</v>
      </c>
      <c r="AY232" s="55">
        <v>0</v>
      </c>
      <c r="AZ232" s="55">
        <v>0</v>
      </c>
      <c r="BA232" s="55">
        <v>0</v>
      </c>
      <c r="BB232" s="55">
        <v>0</v>
      </c>
      <c r="BC232" s="55"/>
      <c r="BD232" s="55"/>
      <c r="BE232" s="55">
        <v>0</v>
      </c>
      <c r="BF232" s="55">
        <v>4052702</v>
      </c>
      <c r="BG232" s="55">
        <v>0</v>
      </c>
      <c r="BH232" s="55">
        <v>0</v>
      </c>
      <c r="BI232" s="55">
        <v>0</v>
      </c>
      <c r="BJ232" s="55">
        <v>101648.88</v>
      </c>
      <c r="BK232" s="55">
        <v>46818</v>
      </c>
      <c r="BL232" s="111">
        <v>346302.82114800002</v>
      </c>
      <c r="BM232" s="62">
        <f t="shared" si="68"/>
        <v>5145669.7011479996</v>
      </c>
      <c r="BN232" s="55">
        <v>0</v>
      </c>
      <c r="BO232" s="55">
        <v>0</v>
      </c>
      <c r="BP232" s="55">
        <v>0</v>
      </c>
      <c r="BQ232" s="55">
        <v>0</v>
      </c>
      <c r="BR232" s="55">
        <v>0</v>
      </c>
      <c r="BS232" s="55"/>
      <c r="BT232" s="55"/>
      <c r="BU232" s="55">
        <v>0</v>
      </c>
      <c r="BV232" s="55">
        <v>4650900</v>
      </c>
      <c r="BW232" s="55">
        <v>0</v>
      </c>
      <c r="BX232" s="55">
        <v>0</v>
      </c>
      <c r="BY232" s="55">
        <v>0</v>
      </c>
      <c r="BZ232" s="55">
        <v>101648.88</v>
      </c>
      <c r="CA232" s="55">
        <v>46818</v>
      </c>
      <c r="CB232" s="64">
        <v>346302.82114800002</v>
      </c>
      <c r="CD232" s="6"/>
    </row>
    <row r="233" spans="1:83" ht="16.5" x14ac:dyDescent="0.25">
      <c r="A233" s="105">
        <f t="shared" si="69"/>
        <v>214</v>
      </c>
      <c r="B233" s="106">
        <f t="shared" si="71"/>
        <v>26</v>
      </c>
      <c r="C233" s="107" t="s">
        <v>108</v>
      </c>
      <c r="D233" s="107" t="s">
        <v>110</v>
      </c>
      <c r="E233" s="54">
        <v>1999</v>
      </c>
      <c r="F233" s="54">
        <v>2011</v>
      </c>
      <c r="G233" s="54" t="s">
        <v>64</v>
      </c>
      <c r="H233" s="54">
        <v>4</v>
      </c>
      <c r="I233" s="54">
        <v>3</v>
      </c>
      <c r="J233" s="55">
        <v>1789.4</v>
      </c>
      <c r="K233" s="55">
        <v>1789.4</v>
      </c>
      <c r="L233" s="55">
        <v>0</v>
      </c>
      <c r="M233" s="56">
        <v>56</v>
      </c>
      <c r="N233" s="108">
        <f t="shared" si="65"/>
        <v>1497999.71</v>
      </c>
      <c r="O233" s="63"/>
      <c r="P233" s="63">
        <v>1138231.98</v>
      </c>
      <c r="Q233" s="63"/>
      <c r="R233" s="63">
        <v>359767.73</v>
      </c>
      <c r="S233" s="63"/>
      <c r="T233" s="63">
        <v>0</v>
      </c>
      <c r="U233" s="55">
        <v>885.42998211691099</v>
      </c>
      <c r="V233" s="55">
        <v>885.42998211691099</v>
      </c>
      <c r="W233" s="109">
        <v>2023</v>
      </c>
      <c r="X233" s="6" t="e">
        <v>#REF!</v>
      </c>
      <c r="Z233" s="62">
        <f t="shared" si="70"/>
        <v>15155840.090000002</v>
      </c>
      <c r="AA233" s="55">
        <v>3843679.5940451999</v>
      </c>
      <c r="AB233" s="55">
        <v>0</v>
      </c>
      <c r="AC233" s="55">
        <v>1430991.0437205599</v>
      </c>
      <c r="AD233" s="55">
        <v>895890.87583128002</v>
      </c>
      <c r="AE233" s="55">
        <v>0</v>
      </c>
      <c r="AF233" s="55"/>
      <c r="AG233" s="55">
        <v>147492.512475</v>
      </c>
      <c r="AH233" s="55">
        <v>0</v>
      </c>
      <c r="AI233" s="55">
        <v>7026831.1230768003</v>
      </c>
      <c r="AJ233" s="55">
        <v>0</v>
      </c>
      <c r="AK233" s="55">
        <v>0</v>
      </c>
      <c r="AL233" s="55">
        <v>0</v>
      </c>
      <c r="AM233" s="55">
        <v>1367570.9297</v>
      </c>
      <c r="AN233" s="63">
        <v>151558.40090000001</v>
      </c>
      <c r="AO233" s="64">
        <v>291825.61025115999</v>
      </c>
      <c r="AP233" s="61">
        <f>+N233-'Приложение №2'!E233</f>
        <v>0</v>
      </c>
      <c r="AQ233" s="6">
        <f>725047.53-R56</f>
        <v>-164367.46999999997</v>
      </c>
      <c r="AR233" s="3">
        <f>+(K233*10+L233*20)*12*0.85</f>
        <v>182518.8</v>
      </c>
      <c r="AS233" s="3">
        <f>+(K233*10+L233*20)*12*30-S56</f>
        <v>0</v>
      </c>
      <c r="AT233" s="6">
        <f t="shared" si="66"/>
        <v>0</v>
      </c>
      <c r="AU233" s="6" t="e">
        <v>#REF!</v>
      </c>
      <c r="AV233" s="6" t="e">
        <v>#REF!</v>
      </c>
      <c r="AW233" s="62">
        <f t="shared" si="67"/>
        <v>1584388.41</v>
      </c>
      <c r="AX233" s="55"/>
      <c r="AY233" s="55">
        <v>0</v>
      </c>
      <c r="AZ233" s="55"/>
      <c r="BA233" s="55">
        <v>1320750.78</v>
      </c>
      <c r="BB233" s="55">
        <v>0</v>
      </c>
      <c r="BC233" s="55"/>
      <c r="BD233" s="55"/>
      <c r="BE233" s="55">
        <v>0</v>
      </c>
      <c r="BF233" s="55"/>
      <c r="BG233" s="55">
        <v>0</v>
      </c>
      <c r="BH233" s="55">
        <v>0</v>
      </c>
      <c r="BI233" s="55">
        <v>0</v>
      </c>
      <c r="BJ233" s="55">
        <v>86907.22</v>
      </c>
      <c r="BK233" s="63">
        <v>25537.94</v>
      </c>
      <c r="BL233" s="111">
        <v>151192.47</v>
      </c>
      <c r="BM233" s="62">
        <f t="shared" si="68"/>
        <v>1584388.41</v>
      </c>
      <c r="BN233" s="55"/>
      <c r="BO233" s="55">
        <v>0</v>
      </c>
      <c r="BP233" s="55"/>
      <c r="BQ233" s="55">
        <v>1320750.78</v>
      </c>
      <c r="BR233" s="55">
        <v>0</v>
      </c>
      <c r="BS233" s="55"/>
      <c r="BT233" s="55"/>
      <c r="BU233" s="55">
        <v>0</v>
      </c>
      <c r="BV233" s="55"/>
      <c r="BW233" s="55">
        <v>0</v>
      </c>
      <c r="BX233" s="55">
        <v>0</v>
      </c>
      <c r="BY233" s="55">
        <v>0</v>
      </c>
      <c r="BZ233" s="55">
        <v>86907.22</v>
      </c>
      <c r="CA233" s="63">
        <v>25537.94</v>
      </c>
      <c r="CB233" s="64">
        <v>151192.47</v>
      </c>
      <c r="CD233" s="126"/>
      <c r="CE233" s="126"/>
    </row>
    <row r="234" spans="1:83" x14ac:dyDescent="0.25">
      <c r="A234" s="105">
        <f t="shared" si="69"/>
        <v>215</v>
      </c>
      <c r="B234" s="106">
        <f t="shared" si="71"/>
        <v>27</v>
      </c>
      <c r="C234" s="107" t="s">
        <v>108</v>
      </c>
      <c r="D234" s="107" t="s">
        <v>319</v>
      </c>
      <c r="E234" s="54">
        <v>1996</v>
      </c>
      <c r="F234" s="54">
        <v>2013</v>
      </c>
      <c r="G234" s="54" t="s">
        <v>64</v>
      </c>
      <c r="H234" s="54">
        <v>2</v>
      </c>
      <c r="I234" s="54">
        <v>2</v>
      </c>
      <c r="J234" s="55">
        <v>1125</v>
      </c>
      <c r="K234" s="55">
        <v>1125</v>
      </c>
      <c r="L234" s="55">
        <v>0</v>
      </c>
      <c r="M234" s="56">
        <v>54</v>
      </c>
      <c r="N234" s="108">
        <f t="shared" si="65"/>
        <v>3781760.8884459995</v>
      </c>
      <c r="O234" s="63"/>
      <c r="P234" s="63">
        <v>404783.00844599999</v>
      </c>
      <c r="Q234" s="63"/>
      <c r="R234" s="63">
        <v>760259.35</v>
      </c>
      <c r="S234" s="63">
        <v>2616718.5299999998</v>
      </c>
      <c r="T234" s="63">
        <v>0</v>
      </c>
      <c r="U234" s="63">
        <v>3373.6265675075601</v>
      </c>
      <c r="V234" s="63">
        <v>1250.2830200640001</v>
      </c>
      <c r="W234" s="109">
        <v>2023</v>
      </c>
      <c r="X234" s="6" t="e">
        <v>#REF!</v>
      </c>
      <c r="Z234" s="62">
        <f t="shared" si="70"/>
        <v>3390546.8800000004</v>
      </c>
      <c r="AA234" s="55">
        <v>0</v>
      </c>
      <c r="AB234" s="55">
        <v>0</v>
      </c>
      <c r="AC234" s="55">
        <v>0</v>
      </c>
      <c r="AD234" s="55">
        <v>0</v>
      </c>
      <c r="AE234" s="55">
        <v>0</v>
      </c>
      <c r="AF234" s="55"/>
      <c r="AG234" s="55">
        <v>0</v>
      </c>
      <c r="AH234" s="55">
        <v>0</v>
      </c>
      <c r="AI234" s="55">
        <v>3197890.5015540002</v>
      </c>
      <c r="AJ234" s="55">
        <v>0</v>
      </c>
      <c r="AK234" s="55">
        <v>0</v>
      </c>
      <c r="AL234" s="55">
        <v>0</v>
      </c>
      <c r="AM234" s="55">
        <v>85155.99</v>
      </c>
      <c r="AN234" s="55">
        <v>37569</v>
      </c>
      <c r="AO234" s="64">
        <v>69931.388445999997</v>
      </c>
      <c r="AP234" s="61">
        <f>+N234-'Приложение №2'!E234</f>
        <v>0</v>
      </c>
      <c r="AQ234" s="65">
        <v>639771.85</v>
      </c>
      <c r="AR234" s="3">
        <f>+(K234*10.5+L234*21)*12*0.85</f>
        <v>120487.5</v>
      </c>
      <c r="AS234" s="3">
        <f>+(K234*10.5+L234*21)*12*30</f>
        <v>4252500</v>
      </c>
      <c r="AT234" s="6">
        <f t="shared" si="66"/>
        <v>-1635781.4700000002</v>
      </c>
      <c r="AU234" s="6" t="e">
        <v>#REF!</v>
      </c>
      <c r="AV234" s="6" t="e">
        <v>#REF!</v>
      </c>
      <c r="AW234" s="110">
        <f t="shared" si="67"/>
        <v>3390546.8800000004</v>
      </c>
      <c r="AX234" s="55">
        <v>0</v>
      </c>
      <c r="AY234" s="55">
        <v>0</v>
      </c>
      <c r="AZ234" s="55">
        <v>0</v>
      </c>
      <c r="BA234" s="55">
        <v>0</v>
      </c>
      <c r="BB234" s="55">
        <v>0</v>
      </c>
      <c r="BC234" s="55"/>
      <c r="BD234" s="55"/>
      <c r="BE234" s="55">
        <v>0</v>
      </c>
      <c r="BF234" s="55">
        <v>3197890.5015540002</v>
      </c>
      <c r="BG234" s="55">
        <v>0</v>
      </c>
      <c r="BH234" s="55">
        <v>0</v>
      </c>
      <c r="BI234" s="55">
        <v>0</v>
      </c>
      <c r="BJ234" s="55">
        <v>85155.99</v>
      </c>
      <c r="BK234" s="55">
        <f>37569</f>
        <v>37569</v>
      </c>
      <c r="BL234" s="111">
        <v>69931.388445999997</v>
      </c>
      <c r="BM234" s="110">
        <f t="shared" si="68"/>
        <v>3795329.8884459999</v>
      </c>
      <c r="BN234" s="55">
        <v>0</v>
      </c>
      <c r="BO234" s="55">
        <v>0</v>
      </c>
      <c r="BP234" s="55">
        <v>0</v>
      </c>
      <c r="BQ234" s="55">
        <v>0</v>
      </c>
      <c r="BR234" s="55">
        <v>0</v>
      </c>
      <c r="BS234" s="55"/>
      <c r="BT234" s="55"/>
      <c r="BU234" s="55">
        <v>0</v>
      </c>
      <c r="BV234" s="55">
        <v>3602673.51</v>
      </c>
      <c r="BW234" s="55">
        <v>0</v>
      </c>
      <c r="BX234" s="55">
        <v>0</v>
      </c>
      <c r="BY234" s="55">
        <v>0</v>
      </c>
      <c r="BZ234" s="55">
        <v>85155.99</v>
      </c>
      <c r="CA234" s="55">
        <f>37569</f>
        <v>37569</v>
      </c>
      <c r="CB234" s="64">
        <v>69931.388445999997</v>
      </c>
      <c r="CD234" s="6"/>
    </row>
    <row r="235" spans="1:83" x14ac:dyDescent="0.25">
      <c r="A235" s="105">
        <f t="shared" si="69"/>
        <v>216</v>
      </c>
      <c r="B235" s="106">
        <f t="shared" si="71"/>
        <v>28</v>
      </c>
      <c r="C235" s="53" t="s">
        <v>108</v>
      </c>
      <c r="D235" s="53" t="s">
        <v>320</v>
      </c>
      <c r="E235" s="54">
        <v>1986</v>
      </c>
      <c r="F235" s="54">
        <v>2013</v>
      </c>
      <c r="G235" s="54" t="s">
        <v>64</v>
      </c>
      <c r="H235" s="54">
        <v>2</v>
      </c>
      <c r="I235" s="54">
        <v>2</v>
      </c>
      <c r="J235" s="55">
        <v>1112.5</v>
      </c>
      <c r="K235" s="55">
        <v>1000.4</v>
      </c>
      <c r="L235" s="55">
        <v>0</v>
      </c>
      <c r="M235" s="56">
        <v>40</v>
      </c>
      <c r="N235" s="112">
        <f t="shared" si="65"/>
        <v>534790.82653299998</v>
      </c>
      <c r="O235" s="55"/>
      <c r="P235" s="63"/>
      <c r="Q235" s="63"/>
      <c r="R235" s="63">
        <v>534790.82653299998</v>
      </c>
      <c r="S235" s="63"/>
      <c r="T235" s="113">
        <v>0</v>
      </c>
      <c r="U235" s="63">
        <v>589.33186225509803</v>
      </c>
      <c r="V235" s="63">
        <v>1251.2830200640001</v>
      </c>
      <c r="W235" s="109">
        <v>2023</v>
      </c>
      <c r="X235" s="6" t="e">
        <v>#REF!</v>
      </c>
      <c r="Z235" s="62">
        <f t="shared" si="70"/>
        <v>2293840.42</v>
      </c>
      <c r="AA235" s="55">
        <v>943755.90929255995</v>
      </c>
      <c r="AB235" s="55">
        <v>0</v>
      </c>
      <c r="AC235" s="55">
        <v>576950.84846699995</v>
      </c>
      <c r="AD235" s="55">
        <v>439929.92612436</v>
      </c>
      <c r="AE235" s="55">
        <v>0</v>
      </c>
      <c r="AF235" s="55"/>
      <c r="AG235" s="55">
        <v>46894.9827066</v>
      </c>
      <c r="AH235" s="55">
        <v>0</v>
      </c>
      <c r="AI235" s="55">
        <v>0</v>
      </c>
      <c r="AJ235" s="55">
        <v>0</v>
      </c>
      <c r="AK235" s="55">
        <v>0</v>
      </c>
      <c r="AL235" s="55">
        <v>0</v>
      </c>
      <c r="AM235" s="55">
        <v>219469.69760000001</v>
      </c>
      <c r="AN235" s="63">
        <v>22938.404200000001</v>
      </c>
      <c r="AO235" s="64">
        <v>43900.651609480003</v>
      </c>
      <c r="AP235" s="61">
        <f>+N235-'Приложение №2'!E235</f>
        <v>0</v>
      </c>
      <c r="AQ235" s="65">
        <v>431616.87</v>
      </c>
      <c r="AR235" s="3">
        <f>+(K235*10.5+L235*21)*12*0.85</f>
        <v>107142.84</v>
      </c>
      <c r="AS235" s="3">
        <f>+(K235*10.5+L235*21)*12*30</f>
        <v>3781512</v>
      </c>
      <c r="AT235" s="6">
        <f t="shared" si="66"/>
        <v>-3781512</v>
      </c>
      <c r="AU235" s="6" t="e">
        <v>#REF!</v>
      </c>
      <c r="AV235" s="6" t="e">
        <v>#REF!</v>
      </c>
      <c r="AW235" s="110">
        <f t="shared" si="67"/>
        <v>589567.59499999997</v>
      </c>
      <c r="AX235" s="55"/>
      <c r="AY235" s="55">
        <v>0</v>
      </c>
      <c r="AZ235" s="55">
        <v>576950.84846699995</v>
      </c>
      <c r="BA235" s="55"/>
      <c r="BB235" s="55"/>
      <c r="BC235" s="55"/>
      <c r="BD235" s="55"/>
      <c r="BE235" s="55">
        <v>0</v>
      </c>
      <c r="BF235" s="55">
        <v>0</v>
      </c>
      <c r="BG235" s="55">
        <v>0</v>
      </c>
      <c r="BH235" s="55">
        <v>0</v>
      </c>
      <c r="BI235" s="55">
        <v>0</v>
      </c>
      <c r="BJ235" s="55"/>
      <c r="BK235" s="63"/>
      <c r="BL235" s="111">
        <v>12616.746533</v>
      </c>
      <c r="BM235" s="110">
        <f t="shared" si="68"/>
        <v>534790.82653299998</v>
      </c>
      <c r="BN235" s="55"/>
      <c r="BO235" s="55">
        <v>0</v>
      </c>
      <c r="BP235" s="118">
        <v>522174.08</v>
      </c>
      <c r="BQ235" s="55"/>
      <c r="BR235" s="55"/>
      <c r="BS235" s="55"/>
      <c r="BT235" s="55"/>
      <c r="BU235" s="55">
        <v>0</v>
      </c>
      <c r="BV235" s="55">
        <v>0</v>
      </c>
      <c r="BW235" s="55">
        <v>0</v>
      </c>
      <c r="BX235" s="55">
        <v>0</v>
      </c>
      <c r="BY235" s="55">
        <v>0</v>
      </c>
      <c r="BZ235" s="55"/>
      <c r="CA235" s="63"/>
      <c r="CB235" s="64">
        <v>12616.746533</v>
      </c>
      <c r="CD235" s="3"/>
      <c r="CE235" s="6"/>
    </row>
    <row r="236" spans="1:83" x14ac:dyDescent="0.25">
      <c r="A236" s="105">
        <f t="shared" si="69"/>
        <v>217</v>
      </c>
      <c r="B236" s="106">
        <f t="shared" si="71"/>
        <v>29</v>
      </c>
      <c r="C236" s="53" t="s">
        <v>108</v>
      </c>
      <c r="D236" s="53" t="s">
        <v>321</v>
      </c>
      <c r="E236" s="54">
        <v>1991</v>
      </c>
      <c r="F236" s="54">
        <v>2013</v>
      </c>
      <c r="G236" s="54" t="s">
        <v>64</v>
      </c>
      <c r="H236" s="54">
        <v>2</v>
      </c>
      <c r="I236" s="54">
        <v>2</v>
      </c>
      <c r="J236" s="55">
        <v>1131.9000000000001</v>
      </c>
      <c r="K236" s="55">
        <v>1004.5</v>
      </c>
      <c r="L236" s="55">
        <v>0</v>
      </c>
      <c r="M236" s="56">
        <v>46</v>
      </c>
      <c r="N236" s="112">
        <f t="shared" si="65"/>
        <v>535935.30568991997</v>
      </c>
      <c r="O236" s="55"/>
      <c r="P236" s="63"/>
      <c r="Q236" s="63"/>
      <c r="R236" s="63">
        <v>408248.95</v>
      </c>
      <c r="S236" s="63">
        <v>127686.35568992</v>
      </c>
      <c r="T236" s="113">
        <v>0</v>
      </c>
      <c r="U236" s="63">
        <v>507.855104828273</v>
      </c>
      <c r="V236" s="63">
        <v>1252.2830200640001</v>
      </c>
      <c r="W236" s="109">
        <v>2023</v>
      </c>
      <c r="X236" s="6" t="e">
        <v>#REF!</v>
      </c>
      <c r="Z236" s="62">
        <f t="shared" si="70"/>
        <v>1478022.6186027201</v>
      </c>
      <c r="AA236" s="55"/>
      <c r="AB236" s="55">
        <v>0</v>
      </c>
      <c r="AC236" s="55">
        <v>499223.44711007999</v>
      </c>
      <c r="AD236" s="55">
        <v>425443.60992000002</v>
      </c>
      <c r="AE236" s="55">
        <v>0</v>
      </c>
      <c r="AF236" s="55"/>
      <c r="AG236" s="55">
        <v>177679.34772672001</v>
      </c>
      <c r="AH236" s="55">
        <v>0</v>
      </c>
      <c r="AI236" s="55">
        <v>0</v>
      </c>
      <c r="AJ236" s="55">
        <v>0</v>
      </c>
      <c r="AK236" s="55">
        <v>0</v>
      </c>
      <c r="AL236" s="55">
        <v>0</v>
      </c>
      <c r="AM236" s="55">
        <v>281303.4768</v>
      </c>
      <c r="AN236" s="63">
        <v>32191.570400000001</v>
      </c>
      <c r="AO236" s="64">
        <v>62181.166645919999</v>
      </c>
      <c r="AP236" s="61">
        <f>+N236-'Приложение №2'!E236</f>
        <v>0</v>
      </c>
      <c r="AQ236" s="65">
        <v>300667</v>
      </c>
      <c r="AR236" s="3">
        <f>+(K236*10.5+L236*21)*12*0.85</f>
        <v>107581.95</v>
      </c>
      <c r="AS236" s="3">
        <f>+(K236*10.5+L236*21)*12*30-748881.44</f>
        <v>3048128.56</v>
      </c>
      <c r="AT236" s="6">
        <f t="shared" si="66"/>
        <v>-2920442.20431008</v>
      </c>
      <c r="AU236" s="6" t="e">
        <v>#REF!</v>
      </c>
      <c r="AV236" s="6" t="e">
        <v>#REF!</v>
      </c>
      <c r="AW236" s="110">
        <f t="shared" si="67"/>
        <v>510140.45279999997</v>
      </c>
      <c r="AX236" s="55"/>
      <c r="AY236" s="55">
        <v>0</v>
      </c>
      <c r="AZ236" s="55">
        <v>499223.44711007999</v>
      </c>
      <c r="BA236" s="55"/>
      <c r="BB236" s="55"/>
      <c r="BC236" s="55"/>
      <c r="BD236" s="55"/>
      <c r="BE236" s="55">
        <v>0</v>
      </c>
      <c r="BF236" s="55">
        <v>0</v>
      </c>
      <c r="BG236" s="55">
        <v>0</v>
      </c>
      <c r="BH236" s="55">
        <v>0</v>
      </c>
      <c r="BI236" s="55">
        <v>0</v>
      </c>
      <c r="BJ236" s="55"/>
      <c r="BK236" s="63"/>
      <c r="BL236" s="111">
        <v>10917.005689920001</v>
      </c>
      <c r="BM236" s="110">
        <f t="shared" si="68"/>
        <v>535935.30568992009</v>
      </c>
      <c r="BN236" s="55"/>
      <c r="BO236" s="55">
        <v>0</v>
      </c>
      <c r="BP236" s="118">
        <v>525018.30000000005</v>
      </c>
      <c r="BQ236" s="55"/>
      <c r="BR236" s="55"/>
      <c r="BS236" s="55"/>
      <c r="BT236" s="55"/>
      <c r="BU236" s="55">
        <v>0</v>
      </c>
      <c r="BV236" s="55">
        <v>0</v>
      </c>
      <c r="BW236" s="55">
        <v>0</v>
      </c>
      <c r="BX236" s="55">
        <v>0</v>
      </c>
      <c r="BY236" s="55">
        <v>0</v>
      </c>
      <c r="BZ236" s="55"/>
      <c r="CA236" s="63"/>
      <c r="CB236" s="64">
        <v>10917.005689920001</v>
      </c>
      <c r="CD236" s="6"/>
      <c r="CE236" s="6"/>
    </row>
    <row r="237" spans="1:83" x14ac:dyDescent="0.25">
      <c r="A237" s="105">
        <f t="shared" si="69"/>
        <v>218</v>
      </c>
      <c r="B237" s="106">
        <f t="shared" si="71"/>
        <v>30</v>
      </c>
      <c r="C237" s="53" t="s">
        <v>108</v>
      </c>
      <c r="D237" s="53" t="s">
        <v>322</v>
      </c>
      <c r="E237" s="54">
        <v>1982</v>
      </c>
      <c r="F237" s="54">
        <v>2013</v>
      </c>
      <c r="G237" s="54" t="s">
        <v>64</v>
      </c>
      <c r="H237" s="54">
        <v>2</v>
      </c>
      <c r="I237" s="54">
        <v>2</v>
      </c>
      <c r="J237" s="55">
        <v>711.8</v>
      </c>
      <c r="K237" s="55">
        <v>585</v>
      </c>
      <c r="L237" s="55">
        <v>0</v>
      </c>
      <c r="M237" s="56">
        <v>35</v>
      </c>
      <c r="N237" s="112">
        <f t="shared" si="65"/>
        <v>539206.21462941996</v>
      </c>
      <c r="O237" s="55"/>
      <c r="P237" s="63"/>
      <c r="Q237" s="63"/>
      <c r="R237" s="63">
        <v>352995.99</v>
      </c>
      <c r="S237" s="63">
        <v>186210.22462942</v>
      </c>
      <c r="T237" s="113">
        <v>0</v>
      </c>
      <c r="U237" s="63">
        <v>801.20935834088903</v>
      </c>
      <c r="V237" s="63">
        <v>1253.2830200640001</v>
      </c>
      <c r="W237" s="109">
        <v>2023</v>
      </c>
      <c r="X237" s="6" t="e">
        <v>#REF!</v>
      </c>
      <c r="Z237" s="62">
        <f t="shared" si="70"/>
        <v>6351355.9299999997</v>
      </c>
      <c r="AA237" s="55">
        <v>1319645.0192616601</v>
      </c>
      <c r="AB237" s="55">
        <v>802983.70469519997</v>
      </c>
      <c r="AC237" s="55">
        <v>378372.70067057997</v>
      </c>
      <c r="AD237" s="55">
        <v>0</v>
      </c>
      <c r="AE237" s="55">
        <v>0</v>
      </c>
      <c r="AF237" s="55"/>
      <c r="AG237" s="55">
        <v>134667.18168372</v>
      </c>
      <c r="AH237" s="55">
        <v>0</v>
      </c>
      <c r="AI237" s="55">
        <v>0</v>
      </c>
      <c r="AJ237" s="55">
        <v>0</v>
      </c>
      <c r="AK237" s="55">
        <v>0</v>
      </c>
      <c r="AL237" s="55">
        <v>2937440.8278188398</v>
      </c>
      <c r="AM237" s="55">
        <v>592860.32070000004</v>
      </c>
      <c r="AN237" s="63">
        <v>63513.559300000001</v>
      </c>
      <c r="AO237" s="64">
        <v>121872.61586999999</v>
      </c>
      <c r="AP237" s="61">
        <f>+N237-'Приложение №2'!E237</f>
        <v>0</v>
      </c>
      <c r="AQ237" s="65">
        <v>290342.49</v>
      </c>
      <c r="AR237" s="3">
        <f>+(K237*10.5+L237*21)*12*0.85</f>
        <v>62653.5</v>
      </c>
      <c r="AS237" s="3">
        <f>+(K237*10.5+L237*21)*12*30</f>
        <v>2211300</v>
      </c>
      <c r="AT237" s="6">
        <f t="shared" si="66"/>
        <v>-2025089.7753705799</v>
      </c>
      <c r="AU237" s="6" t="e">
        <v>#REF!</v>
      </c>
      <c r="AV237" s="6" t="e">
        <v>#REF!</v>
      </c>
      <c r="AW237" s="110">
        <f t="shared" si="67"/>
        <v>468707.47462941997</v>
      </c>
      <c r="AX237" s="55"/>
      <c r="AY237" s="55"/>
      <c r="AZ237" s="55">
        <v>460433.23</v>
      </c>
      <c r="BA237" s="55">
        <v>0</v>
      </c>
      <c r="BB237" s="55">
        <v>0</v>
      </c>
      <c r="BC237" s="55"/>
      <c r="BD237" s="55"/>
      <c r="BE237" s="55"/>
      <c r="BF237" s="55"/>
      <c r="BG237" s="55"/>
      <c r="BH237" s="55"/>
      <c r="BI237" s="55"/>
      <c r="BJ237" s="55"/>
      <c r="BK237" s="63"/>
      <c r="BL237" s="111">
        <v>8274.2446294199999</v>
      </c>
      <c r="BM237" s="110">
        <f t="shared" si="68"/>
        <v>539206.21462941996</v>
      </c>
      <c r="BN237" s="55"/>
      <c r="BO237" s="55"/>
      <c r="BP237" s="118">
        <v>530931.97</v>
      </c>
      <c r="BQ237" s="55">
        <v>0</v>
      </c>
      <c r="BR237" s="55">
        <v>0</v>
      </c>
      <c r="BS237" s="55"/>
      <c r="BT237" s="55"/>
      <c r="BU237" s="55"/>
      <c r="BV237" s="55"/>
      <c r="BW237" s="55"/>
      <c r="BX237" s="55"/>
      <c r="BY237" s="55"/>
      <c r="BZ237" s="55"/>
      <c r="CA237" s="63"/>
      <c r="CB237" s="64">
        <v>8274.2446294199999</v>
      </c>
    </row>
    <row r="238" spans="1:83" x14ac:dyDescent="0.25">
      <c r="A238" s="105">
        <f t="shared" si="69"/>
        <v>219</v>
      </c>
      <c r="B238" s="106">
        <f t="shared" si="71"/>
        <v>31</v>
      </c>
      <c r="C238" s="53" t="s">
        <v>108</v>
      </c>
      <c r="D238" s="53" t="s">
        <v>323</v>
      </c>
      <c r="E238" s="54">
        <v>1988</v>
      </c>
      <c r="F238" s="54">
        <v>2013</v>
      </c>
      <c r="G238" s="54" t="s">
        <v>64</v>
      </c>
      <c r="H238" s="54">
        <v>2</v>
      </c>
      <c r="I238" s="54">
        <v>2</v>
      </c>
      <c r="J238" s="55">
        <v>661.79</v>
      </c>
      <c r="K238" s="55">
        <v>596.70000000000005</v>
      </c>
      <c r="L238" s="55">
        <v>0</v>
      </c>
      <c r="M238" s="56">
        <v>38</v>
      </c>
      <c r="N238" s="112">
        <f t="shared" si="65"/>
        <v>664526.48936964001</v>
      </c>
      <c r="O238" s="55"/>
      <c r="P238" s="63">
        <v>0</v>
      </c>
      <c r="Q238" s="63"/>
      <c r="R238" s="63"/>
      <c r="S238" s="63">
        <v>664526.48936964001</v>
      </c>
      <c r="T238" s="55">
        <v>0</v>
      </c>
      <c r="U238" s="63">
        <v>4496.17482688768</v>
      </c>
      <c r="V238" s="63">
        <v>1254.2830200640001</v>
      </c>
      <c r="W238" s="109">
        <v>2023</v>
      </c>
      <c r="X238" s="6" t="e">
        <v>#REF!</v>
      </c>
      <c r="Z238" s="62">
        <f t="shared" si="70"/>
        <v>2270607.88</v>
      </c>
      <c r="AA238" s="55">
        <v>1303091.9754052199</v>
      </c>
      <c r="AB238" s="55">
        <v>0</v>
      </c>
      <c r="AC238" s="55">
        <v>373626.55878114002</v>
      </c>
      <c r="AD238" s="55">
        <v>318408.58904400002</v>
      </c>
      <c r="AE238" s="55">
        <v>0</v>
      </c>
      <c r="AF238" s="55"/>
      <c r="AG238" s="55">
        <v>0</v>
      </c>
      <c r="AH238" s="55">
        <v>0</v>
      </c>
      <c r="AI238" s="55">
        <v>0</v>
      </c>
      <c r="AJ238" s="55">
        <v>0</v>
      </c>
      <c r="AK238" s="55">
        <v>0</v>
      </c>
      <c r="AL238" s="55">
        <v>0</v>
      </c>
      <c r="AM238" s="55">
        <v>209145.2886</v>
      </c>
      <c r="AN238" s="63">
        <v>22706.078799999999</v>
      </c>
      <c r="AO238" s="64">
        <v>43629.389369639997</v>
      </c>
      <c r="AP238" s="61">
        <f>+N238-'Приложение №2'!E238</f>
        <v>0</v>
      </c>
      <c r="AQ238" s="1">
        <f>232648.79-31492.39</f>
        <v>201156.40000000002</v>
      </c>
      <c r="AR238" s="3">
        <f>+(K238*10.5+L238*21)*12*0.85</f>
        <v>63906.570000000007</v>
      </c>
      <c r="AS238" s="3">
        <f>+(K238*10.5+L238*21)*12*30</f>
        <v>2255526.0000000005</v>
      </c>
      <c r="AT238" s="6">
        <f t="shared" si="66"/>
        <v>-1590999.5106303603</v>
      </c>
      <c r="AU238" s="6" t="e">
        <v>#REF!</v>
      </c>
      <c r="AV238" s="6" t="e">
        <v>#REF!</v>
      </c>
      <c r="AW238" s="110">
        <f t="shared" si="67"/>
        <v>2682867.5192038771</v>
      </c>
      <c r="AX238" s="55">
        <v>1551954.26</v>
      </c>
      <c r="AY238" s="55">
        <v>0</v>
      </c>
      <c r="AZ238" s="55">
        <v>437675.74</v>
      </c>
      <c r="BA238" s="55">
        <v>462948.67</v>
      </c>
      <c r="BB238" s="55">
        <v>0</v>
      </c>
      <c r="BC238" s="55"/>
      <c r="BD238" s="55">
        <v>186659.459834237</v>
      </c>
      <c r="BE238" s="55">
        <v>0</v>
      </c>
      <c r="BF238" s="55">
        <v>0</v>
      </c>
      <c r="BG238" s="55">
        <v>0</v>
      </c>
      <c r="BH238" s="55">
        <v>0</v>
      </c>
      <c r="BI238" s="55">
        <v>0</v>
      </c>
      <c r="BJ238" s="55"/>
      <c r="BK238" s="63"/>
      <c r="BL238" s="111">
        <v>43629.389369639997</v>
      </c>
      <c r="BM238" s="110">
        <f t="shared" si="68"/>
        <v>2682867.5192038771</v>
      </c>
      <c r="BN238" s="55">
        <v>1551954.26</v>
      </c>
      <c r="BO238" s="55">
        <v>0</v>
      </c>
      <c r="BP238" s="55">
        <v>437675.74</v>
      </c>
      <c r="BQ238" s="55">
        <v>462948.67</v>
      </c>
      <c r="BR238" s="55">
        <v>0</v>
      </c>
      <c r="BS238" s="55"/>
      <c r="BT238" s="55">
        <v>186659.459834237</v>
      </c>
      <c r="BU238" s="55">
        <v>0</v>
      </c>
      <c r="BV238" s="55">
        <v>0</v>
      </c>
      <c r="BW238" s="55">
        <v>0</v>
      </c>
      <c r="BX238" s="55">
        <v>0</v>
      </c>
      <c r="BY238" s="55">
        <v>0</v>
      </c>
      <c r="BZ238" s="55"/>
      <c r="CA238" s="63"/>
      <c r="CB238" s="64">
        <v>43629.389369639997</v>
      </c>
      <c r="CD238" s="6"/>
    </row>
    <row r="239" spans="1:83" s="69" customFormat="1" x14ac:dyDescent="0.25">
      <c r="A239" s="105">
        <f t="shared" si="69"/>
        <v>220</v>
      </c>
      <c r="B239" s="106">
        <f t="shared" si="71"/>
        <v>32</v>
      </c>
      <c r="C239" s="53" t="s">
        <v>181</v>
      </c>
      <c r="D239" s="53" t="s">
        <v>324</v>
      </c>
      <c r="E239" s="54" t="s">
        <v>325</v>
      </c>
      <c r="F239" s="54"/>
      <c r="G239" s="54" t="s">
        <v>64</v>
      </c>
      <c r="H239" s="54" t="s">
        <v>123</v>
      </c>
      <c r="I239" s="54" t="s">
        <v>185</v>
      </c>
      <c r="J239" s="55">
        <v>17927.330000000002</v>
      </c>
      <c r="K239" s="55">
        <v>15026.75</v>
      </c>
      <c r="L239" s="55">
        <v>72.8</v>
      </c>
      <c r="M239" s="56">
        <v>571</v>
      </c>
      <c r="N239" s="112">
        <f t="shared" si="65"/>
        <v>21542120.846304532</v>
      </c>
      <c r="O239" s="55">
        <v>0</v>
      </c>
      <c r="P239" s="63"/>
      <c r="Q239" s="63">
        <v>0</v>
      </c>
      <c r="R239" s="63">
        <v>13810339.681500001</v>
      </c>
      <c r="S239" s="63">
        <v>7731781.1648045303</v>
      </c>
      <c r="T239" s="63">
        <v>0</v>
      </c>
      <c r="U239" s="63">
        <v>1433.23660909504</v>
      </c>
      <c r="V239" s="63">
        <v>1255.2830200640001</v>
      </c>
      <c r="W239" s="109">
        <v>2023</v>
      </c>
      <c r="X239" s="69">
        <v>7106067.9400000004</v>
      </c>
      <c r="Y239" s="69">
        <f>+(K239*12.08+L239*20.47)*12</f>
        <v>2196160.2719999999</v>
      </c>
      <c r="AA239" s="70" t="e">
        <v>#REF!</v>
      </c>
      <c r="AD239" s="70" t="e">
        <v>#REF!</v>
      </c>
      <c r="AP239" s="61">
        <f>+N239-'Приложение №2'!E239</f>
        <v>0</v>
      </c>
      <c r="AQ239" s="69">
        <v>11654621.880000001</v>
      </c>
      <c r="AR239" s="3">
        <f>+(K239*13.95+L239*23.65)*12*0.85</f>
        <v>2155717.8014999996</v>
      </c>
      <c r="AS239" s="3">
        <f>+(K239*13.95+L239*23.65)*12*30</f>
        <v>76084157.699999988</v>
      </c>
      <c r="AT239" s="6">
        <f t="shared" si="66"/>
        <v>-68352376.535195455</v>
      </c>
      <c r="AU239" s="6" t="e">
        <v>#REF!</v>
      </c>
      <c r="AV239" s="6" t="e">
        <v>#REF!</v>
      </c>
      <c r="AW239" s="110">
        <f t="shared" si="67"/>
        <v>21536888.215718932</v>
      </c>
      <c r="AX239" s="55"/>
      <c r="AY239" s="55"/>
      <c r="AZ239" s="55"/>
      <c r="BA239" s="55"/>
      <c r="BB239" s="55"/>
      <c r="BC239" s="55"/>
      <c r="BD239" s="55"/>
      <c r="BE239" s="55">
        <v>20793974.399999999</v>
      </c>
      <c r="BF239" s="55"/>
      <c r="BG239" s="55"/>
      <c r="BH239" s="55"/>
      <c r="BI239" s="55"/>
      <c r="BJ239" s="55">
        <v>263945.2194144</v>
      </c>
      <c r="BK239" s="63">
        <v>24000</v>
      </c>
      <c r="BL239" s="111">
        <v>454968.59630453202</v>
      </c>
      <c r="BM239" s="110">
        <f t="shared" si="68"/>
        <v>21536888.215718932</v>
      </c>
      <c r="BN239" s="55"/>
      <c r="BO239" s="55"/>
      <c r="BP239" s="55"/>
      <c r="BQ239" s="55"/>
      <c r="BR239" s="55"/>
      <c r="BS239" s="55"/>
      <c r="BT239" s="55"/>
      <c r="BU239" s="55">
        <v>20793974.399999999</v>
      </c>
      <c r="BV239" s="55"/>
      <c r="BW239" s="55"/>
      <c r="BX239" s="55"/>
      <c r="BY239" s="55"/>
      <c r="BZ239" s="55">
        <v>263945.2194144</v>
      </c>
      <c r="CA239" s="63">
        <v>24000</v>
      </c>
      <c r="CB239" s="64">
        <v>454968.59630453202</v>
      </c>
    </row>
    <row r="240" spans="1:83" s="69" customFormat="1" x14ac:dyDescent="0.25">
      <c r="A240" s="105">
        <f t="shared" si="69"/>
        <v>221</v>
      </c>
      <c r="B240" s="106">
        <f t="shared" si="71"/>
        <v>33</v>
      </c>
      <c r="C240" s="53" t="s">
        <v>181</v>
      </c>
      <c r="D240" s="53" t="s">
        <v>326</v>
      </c>
      <c r="E240" s="54" t="s">
        <v>325</v>
      </c>
      <c r="F240" s="54"/>
      <c r="G240" s="54" t="s">
        <v>64</v>
      </c>
      <c r="H240" s="54" t="s">
        <v>123</v>
      </c>
      <c r="I240" s="54" t="s">
        <v>184</v>
      </c>
      <c r="J240" s="55">
        <v>11180.28</v>
      </c>
      <c r="K240" s="55">
        <v>9305.33</v>
      </c>
      <c r="L240" s="55">
        <v>0</v>
      </c>
      <c r="M240" s="56">
        <v>347</v>
      </c>
      <c r="N240" s="112">
        <f t="shared" ref="N240:N271" si="72">+P240+Q240+R240+S240+T240</f>
        <v>14400365.75821171</v>
      </c>
      <c r="O240" s="55">
        <v>0</v>
      </c>
      <c r="P240" s="63"/>
      <c r="Q240" s="63">
        <v>0</v>
      </c>
      <c r="R240" s="63">
        <v>8237634.1857000003</v>
      </c>
      <c r="S240" s="63">
        <v>6162731.5725117102</v>
      </c>
      <c r="T240" s="63">
        <v>0</v>
      </c>
      <c r="U240" s="63">
        <v>1546.5860163391601</v>
      </c>
      <c r="V240" s="63">
        <v>1257.2830200640001</v>
      </c>
      <c r="W240" s="109">
        <v>2023</v>
      </c>
      <c r="X240" s="69">
        <v>4241666.0199999996</v>
      </c>
      <c r="Y240" s="69">
        <f>+(K240*12.08+L240*20.47)*12</f>
        <v>1348900.6368</v>
      </c>
      <c r="AA240" s="70" t="e">
        <v>#REF!</v>
      </c>
      <c r="AD240" s="70" t="e">
        <v>#REF!</v>
      </c>
      <c r="AP240" s="61">
        <f>+N240-'Приложение №2'!E240</f>
        <v>0</v>
      </c>
      <c r="AQ240" s="69">
        <v>6913578.7800000003</v>
      </c>
      <c r="AR240" s="3">
        <f>+(K240*13.95+L240*23.65)*12*0.85</f>
        <v>1324055.4057</v>
      </c>
      <c r="AS240" s="3">
        <f>+(K240*13.95+L240*23.65)*12*30</f>
        <v>46731367.260000005</v>
      </c>
      <c r="AT240" s="6">
        <f t="shared" ref="AT240:AT271" si="73">+S240-AS240</f>
        <v>-40568635.687488295</v>
      </c>
      <c r="AU240" s="6" t="e">
        <v>#REF!</v>
      </c>
      <c r="AV240" s="6" t="e">
        <v>#REF!</v>
      </c>
      <c r="AW240" s="110">
        <f t="shared" ref="AW240:AW271" si="74">SUBTOTAL(9, AX240:BL240)</f>
        <v>14391493.255421314</v>
      </c>
      <c r="AX240" s="55"/>
      <c r="AY240" s="55"/>
      <c r="AZ240" s="55"/>
      <c r="BA240" s="55"/>
      <c r="BB240" s="55"/>
      <c r="BC240" s="55"/>
      <c r="BD240" s="55"/>
      <c r="BE240" s="55">
        <v>13862649.6</v>
      </c>
      <c r="BF240" s="55"/>
      <c r="BG240" s="55"/>
      <c r="BH240" s="55"/>
      <c r="BI240" s="55"/>
      <c r="BJ240" s="55">
        <v>202265.31720960001</v>
      </c>
      <c r="BK240" s="63">
        <v>24000</v>
      </c>
      <c r="BL240" s="111">
        <v>302578.33821171499</v>
      </c>
      <c r="BM240" s="110">
        <f t="shared" ref="BM240:BM271" si="75">SUBTOTAL(9, BN240:CB240)</f>
        <v>14391493.255421314</v>
      </c>
      <c r="BN240" s="55"/>
      <c r="BO240" s="55"/>
      <c r="BP240" s="55"/>
      <c r="BQ240" s="55"/>
      <c r="BR240" s="55"/>
      <c r="BS240" s="55"/>
      <c r="BT240" s="55"/>
      <c r="BU240" s="55">
        <v>13862649.6</v>
      </c>
      <c r="BV240" s="55"/>
      <c r="BW240" s="55"/>
      <c r="BX240" s="55"/>
      <c r="BY240" s="55"/>
      <c r="BZ240" s="55">
        <v>202265.31720960001</v>
      </c>
      <c r="CA240" s="63">
        <v>24000</v>
      </c>
      <c r="CB240" s="64">
        <v>302578.33821171499</v>
      </c>
      <c r="CD240" s="70"/>
    </row>
    <row r="241" spans="1:82" x14ac:dyDescent="0.25">
      <c r="A241" s="105">
        <f t="shared" si="69"/>
        <v>222</v>
      </c>
      <c r="B241" s="106">
        <f t="shared" si="71"/>
        <v>34</v>
      </c>
      <c r="C241" s="53" t="s">
        <v>108</v>
      </c>
      <c r="D241" s="53" t="s">
        <v>327</v>
      </c>
      <c r="E241" s="54">
        <v>1964</v>
      </c>
      <c r="F241" s="54">
        <v>2013</v>
      </c>
      <c r="G241" s="54" t="s">
        <v>64</v>
      </c>
      <c r="H241" s="54">
        <v>5</v>
      </c>
      <c r="I241" s="54">
        <v>7</v>
      </c>
      <c r="J241" s="55">
        <v>6384.4</v>
      </c>
      <c r="K241" s="55">
        <v>5253.8</v>
      </c>
      <c r="L241" s="55">
        <v>1130.5999999999999</v>
      </c>
      <c r="M241" s="56">
        <v>210</v>
      </c>
      <c r="N241" s="112">
        <f t="shared" si="72"/>
        <v>16934031.527663801</v>
      </c>
      <c r="O241" s="55"/>
      <c r="P241" s="63"/>
      <c r="Q241" s="63"/>
      <c r="R241" s="63">
        <v>1868422.94</v>
      </c>
      <c r="S241" s="63">
        <v>15065608.5876638</v>
      </c>
      <c r="T241" s="63">
        <v>0</v>
      </c>
      <c r="U241" s="63">
        <v>4853.3184093698701</v>
      </c>
      <c r="V241" s="63">
        <v>1258.2830200640001</v>
      </c>
      <c r="W241" s="109">
        <v>2023</v>
      </c>
      <c r="X241" s="6" t="e">
        <v>#REF!</v>
      </c>
      <c r="Z241" s="62">
        <f>SUM(AA241:AO241)</f>
        <v>31039639.368981637</v>
      </c>
      <c r="AA241" s="55">
        <v>13616559.511674</v>
      </c>
      <c r="AB241" s="55">
        <v>4892953.0885143401</v>
      </c>
      <c r="AC241" s="55">
        <v>5159278.85636512</v>
      </c>
      <c r="AD241" s="55">
        <v>3303637.3136041798</v>
      </c>
      <c r="AE241" s="55">
        <v>2454070.4593859999</v>
      </c>
      <c r="AF241" s="55"/>
      <c r="AG241" s="55">
        <v>488558.85729000001</v>
      </c>
      <c r="AH241" s="55">
        <v>0</v>
      </c>
      <c r="AI241" s="55">
        <v>0</v>
      </c>
      <c r="AJ241" s="55">
        <v>0</v>
      </c>
      <c r="AK241" s="55">
        <v>0</v>
      </c>
      <c r="AL241" s="55">
        <v>0</v>
      </c>
      <c r="AM241" s="55">
        <v>425297.73</v>
      </c>
      <c r="AN241" s="55">
        <v>45101.82</v>
      </c>
      <c r="AO241" s="64">
        <v>654181.73214800004</v>
      </c>
      <c r="AP241" s="61">
        <f>+N241-'Приложение №2'!E241</f>
        <v>0</v>
      </c>
      <c r="AQ241" s="65">
        <v>4163182.7</v>
      </c>
      <c r="AR241" s="3">
        <f>+(K241*10.5+L241*21)*12*0.85</f>
        <v>804856.5</v>
      </c>
      <c r="AS241" s="3">
        <f>+(K241*10.5+L241*21)*12*30</f>
        <v>28406700</v>
      </c>
      <c r="AT241" s="6">
        <f t="shared" si="73"/>
        <v>-13341091.4123362</v>
      </c>
      <c r="AU241" s="6" t="e">
        <v>#REF!</v>
      </c>
      <c r="AV241" s="6" t="e">
        <v>#REF!</v>
      </c>
      <c r="AW241" s="110">
        <f t="shared" si="74"/>
        <v>25498364.259147439</v>
      </c>
      <c r="AX241" s="55"/>
      <c r="AY241" s="55">
        <v>4892953.0885143401</v>
      </c>
      <c r="AZ241" s="55">
        <v>5159278.85636512</v>
      </c>
      <c r="BA241" s="55">
        <v>3303637.3136041798</v>
      </c>
      <c r="BB241" s="55"/>
      <c r="BC241" s="55"/>
      <c r="BD241" s="55"/>
      <c r="BE241" s="55">
        <v>0</v>
      </c>
      <c r="BF241" s="55">
        <v>11343089.619999999</v>
      </c>
      <c r="BG241" s="55">
        <v>0</v>
      </c>
      <c r="BH241" s="55">
        <v>0</v>
      </c>
      <c r="BI241" s="55">
        <v>0</v>
      </c>
      <c r="BJ241" s="55">
        <v>596430.70649999997</v>
      </c>
      <c r="BK241" s="55">
        <v>24992.426500000001</v>
      </c>
      <c r="BL241" s="111">
        <v>177982.24766379999</v>
      </c>
      <c r="BM241" s="110">
        <f t="shared" si="75"/>
        <v>25498364.259147439</v>
      </c>
      <c r="BN241" s="55"/>
      <c r="BO241" s="55">
        <v>4892953.0885143401</v>
      </c>
      <c r="BP241" s="55">
        <v>5159278.85636512</v>
      </c>
      <c r="BQ241" s="55">
        <v>3303637.3136041798</v>
      </c>
      <c r="BR241" s="55"/>
      <c r="BS241" s="55"/>
      <c r="BT241" s="55"/>
      <c r="BU241" s="55">
        <v>0</v>
      </c>
      <c r="BV241" s="55">
        <v>11343089.619999999</v>
      </c>
      <c r="BW241" s="55">
        <v>0</v>
      </c>
      <c r="BX241" s="55">
        <v>0</v>
      </c>
      <c r="BY241" s="55">
        <v>0</v>
      </c>
      <c r="BZ241" s="55">
        <v>596430.70649999997</v>
      </c>
      <c r="CA241" s="55">
        <v>24992.426500000001</v>
      </c>
      <c r="CB241" s="64">
        <v>177982.24766379999</v>
      </c>
      <c r="CD241" s="6"/>
    </row>
    <row r="242" spans="1:82" x14ac:dyDescent="0.25">
      <c r="A242" s="105">
        <f t="shared" si="69"/>
        <v>223</v>
      </c>
      <c r="B242" s="106">
        <f t="shared" si="71"/>
        <v>35</v>
      </c>
      <c r="C242" s="107" t="s">
        <v>108</v>
      </c>
      <c r="D242" s="107" t="s">
        <v>328</v>
      </c>
      <c r="E242" s="54">
        <v>1954</v>
      </c>
      <c r="F242" s="54">
        <v>2005</v>
      </c>
      <c r="G242" s="54" t="s">
        <v>64</v>
      </c>
      <c r="H242" s="54">
        <v>3</v>
      </c>
      <c r="I242" s="54">
        <v>3</v>
      </c>
      <c r="J242" s="55">
        <v>1802.3</v>
      </c>
      <c r="K242" s="55">
        <v>1033</v>
      </c>
      <c r="L242" s="55">
        <v>769.3</v>
      </c>
      <c r="M242" s="56">
        <v>35</v>
      </c>
      <c r="N242" s="108">
        <f t="shared" si="72"/>
        <v>9396767.4727659095</v>
      </c>
      <c r="O242" s="63"/>
      <c r="P242" s="63">
        <v>3152058.3127659098</v>
      </c>
      <c r="Q242" s="63"/>
      <c r="R242" s="63">
        <v>3113580.08</v>
      </c>
      <c r="S242" s="63">
        <v>3131129.08</v>
      </c>
      <c r="T242" s="63">
        <v>0</v>
      </c>
      <c r="U242" s="55">
        <v>3766.7387742140099</v>
      </c>
      <c r="V242" s="55">
        <v>3766.7387742140099</v>
      </c>
      <c r="W242" s="109">
        <v>2023</v>
      </c>
      <c r="X242" s="6" t="e">
        <v>#REF!</v>
      </c>
      <c r="Z242" s="62">
        <f>SUM(AA242:AO242)</f>
        <v>16373215.820000006</v>
      </c>
      <c r="AA242" s="55">
        <v>0</v>
      </c>
      <c r="AB242" s="55">
        <v>0</v>
      </c>
      <c r="AC242" s="55">
        <v>0</v>
      </c>
      <c r="AD242" s="55">
        <v>0</v>
      </c>
      <c r="AE242" s="55">
        <v>0</v>
      </c>
      <c r="AF242" s="55"/>
      <c r="AG242" s="55">
        <v>0</v>
      </c>
      <c r="AH242" s="55">
        <v>0</v>
      </c>
      <c r="AI242" s="55">
        <v>15841009.1872341</v>
      </c>
      <c r="AJ242" s="55">
        <v>0</v>
      </c>
      <c r="AK242" s="55">
        <v>0</v>
      </c>
      <c r="AL242" s="55">
        <v>0</v>
      </c>
      <c r="AM242" s="55">
        <v>144246.84530748599</v>
      </c>
      <c r="AN242" s="55">
        <v>41549</v>
      </c>
      <c r="AO242" s="64">
        <v>346410.78745841997</v>
      </c>
      <c r="AP242" s="61">
        <f>+N242-'Приложение №2'!E242</f>
        <v>0</v>
      </c>
      <c r="AQ242" s="1">
        <v>895754.39</v>
      </c>
      <c r="AR242" s="3">
        <f>+(K242*10+L242*20)*12*0.85</f>
        <v>262303.2</v>
      </c>
      <c r="AS242" s="3">
        <f>+(K242*10+L242*20)*12*30</f>
        <v>9257760</v>
      </c>
      <c r="AT242" s="6">
        <f t="shared" si="73"/>
        <v>-6126630.9199999999</v>
      </c>
      <c r="AU242" s="6" t="e">
        <v>#REF!</v>
      </c>
      <c r="AV242" s="6" t="e">
        <v>#REF!</v>
      </c>
      <c r="AW242" s="62">
        <f t="shared" si="74"/>
        <v>6788793.2927659061</v>
      </c>
      <c r="AX242" s="55">
        <v>0</v>
      </c>
      <c r="AY242" s="55">
        <v>0</v>
      </c>
      <c r="AZ242" s="55">
        <v>0</v>
      </c>
      <c r="BA242" s="55">
        <v>0</v>
      </c>
      <c r="BB242" s="55">
        <v>0</v>
      </c>
      <c r="BC242" s="55"/>
      <c r="BD242" s="55"/>
      <c r="BE242" s="55">
        <v>0</v>
      </c>
      <c r="BF242" s="55">
        <v>6256586.6600000001</v>
      </c>
      <c r="BG242" s="55">
        <v>0</v>
      </c>
      <c r="BH242" s="55">
        <v>0</v>
      </c>
      <c r="BI242" s="55">
        <v>0</v>
      </c>
      <c r="BJ242" s="55">
        <v>144246.84530748599</v>
      </c>
      <c r="BK242" s="55">
        <f>41549</f>
        <v>41549</v>
      </c>
      <c r="BL242" s="111">
        <v>346410.78745841997</v>
      </c>
      <c r="BM242" s="62">
        <f t="shared" si="75"/>
        <v>9414316.4727659058</v>
      </c>
      <c r="BN242" s="55">
        <v>0</v>
      </c>
      <c r="BO242" s="55">
        <v>0</v>
      </c>
      <c r="BP242" s="55">
        <v>0</v>
      </c>
      <c r="BQ242" s="55">
        <v>0</v>
      </c>
      <c r="BR242" s="55">
        <v>0</v>
      </c>
      <c r="BS242" s="55"/>
      <c r="BT242" s="55"/>
      <c r="BU242" s="55">
        <v>0</v>
      </c>
      <c r="BV242" s="55">
        <v>8882109.8399999999</v>
      </c>
      <c r="BW242" s="55">
        <v>0</v>
      </c>
      <c r="BX242" s="55">
        <v>0</v>
      </c>
      <c r="BY242" s="55">
        <v>0</v>
      </c>
      <c r="BZ242" s="55">
        <v>144246.84530748599</v>
      </c>
      <c r="CA242" s="55">
        <f>41549</f>
        <v>41549</v>
      </c>
      <c r="CB242" s="64">
        <v>346410.78745841997</v>
      </c>
      <c r="CD242" s="6"/>
    </row>
    <row r="243" spans="1:82" s="69" customFormat="1" x14ac:dyDescent="0.25">
      <c r="A243" s="105">
        <f t="shared" ref="A243:A274" si="76">+A242+1</f>
        <v>224</v>
      </c>
      <c r="B243" s="106">
        <f t="shared" si="71"/>
        <v>36</v>
      </c>
      <c r="C243" s="53" t="s">
        <v>108</v>
      </c>
      <c r="D243" s="53" t="s">
        <v>329</v>
      </c>
      <c r="E243" s="54">
        <v>1959</v>
      </c>
      <c r="F243" s="54"/>
      <c r="G243" s="54" t="s">
        <v>64</v>
      </c>
      <c r="H243" s="54">
        <v>4</v>
      </c>
      <c r="I243" s="54">
        <v>3</v>
      </c>
      <c r="J243" s="55">
        <v>2378.1999999999998</v>
      </c>
      <c r="K243" s="55">
        <v>1790.7</v>
      </c>
      <c r="L243" s="55">
        <v>587.5</v>
      </c>
      <c r="M243" s="56">
        <v>74</v>
      </c>
      <c r="N243" s="112">
        <f t="shared" si="72"/>
        <v>3508963.12</v>
      </c>
      <c r="O243" s="55"/>
      <c r="P243" s="63">
        <v>0</v>
      </c>
      <c r="Q243" s="63"/>
      <c r="R243" s="63">
        <v>909473.4</v>
      </c>
      <c r="S243" s="63">
        <v>2599489.7200000002</v>
      </c>
      <c r="T243" s="55">
        <v>0</v>
      </c>
      <c r="U243" s="63">
        <v>1959.54828837885</v>
      </c>
      <c r="V243" s="63">
        <v>1173.2830200640001</v>
      </c>
      <c r="W243" s="109">
        <v>2023</v>
      </c>
      <c r="AA243" s="70"/>
      <c r="AD243" s="70"/>
      <c r="AP243" s="61">
        <f>+N243-'Приложение №2'!E243</f>
        <v>0</v>
      </c>
      <c r="AQ243" s="73">
        <v>863803.68</v>
      </c>
      <c r="AR243" s="3">
        <f>+(K243*13.29+L243*22.52)*12*0.85</f>
        <v>377694.81060000003</v>
      </c>
      <c r="AS243" s="3">
        <f>+(K243*10+L243*20)*12*30</f>
        <v>10676520</v>
      </c>
      <c r="AT243" s="6">
        <f t="shared" si="73"/>
        <v>-8077030.2799999993</v>
      </c>
      <c r="AW243" s="62">
        <f t="shared" si="74"/>
        <v>3508963.12</v>
      </c>
      <c r="AX243" s="62">
        <v>3508963.12</v>
      </c>
      <c r="AY243" s="62"/>
      <c r="AZ243" s="62"/>
      <c r="BA243" s="62"/>
      <c r="BB243" s="62"/>
      <c r="BC243" s="62"/>
      <c r="BD243" s="62"/>
      <c r="BE243" s="62"/>
      <c r="BF243" s="62"/>
      <c r="BG243" s="62"/>
      <c r="BH243" s="62"/>
      <c r="BI243" s="62"/>
      <c r="BJ243" s="62"/>
      <c r="BK243" s="62"/>
      <c r="BL243" s="127"/>
      <c r="BM243" s="62">
        <f t="shared" si="75"/>
        <v>3508963.12</v>
      </c>
      <c r="BN243" s="62">
        <v>3508963.12</v>
      </c>
      <c r="BO243" s="62"/>
      <c r="BP243" s="62"/>
      <c r="BQ243" s="62"/>
      <c r="BR243" s="62"/>
      <c r="BS243" s="62"/>
      <c r="BT243" s="62"/>
      <c r="BU243" s="62"/>
      <c r="BV243" s="62"/>
      <c r="BW243" s="62"/>
      <c r="BX243" s="62"/>
      <c r="BY243" s="62"/>
      <c r="BZ243" s="62"/>
      <c r="CA243" s="62"/>
      <c r="CB243" s="127"/>
      <c r="CD243" s="70"/>
    </row>
    <row r="244" spans="1:82" x14ac:dyDescent="0.25">
      <c r="A244" s="105">
        <f t="shared" si="76"/>
        <v>225</v>
      </c>
      <c r="B244" s="106">
        <f t="shared" si="71"/>
        <v>37</v>
      </c>
      <c r="C244" s="107" t="s">
        <v>108</v>
      </c>
      <c r="D244" s="107" t="s">
        <v>126</v>
      </c>
      <c r="E244" s="54">
        <v>1968</v>
      </c>
      <c r="F244" s="54">
        <v>2013</v>
      </c>
      <c r="G244" s="54" t="s">
        <v>64</v>
      </c>
      <c r="H244" s="54">
        <v>5</v>
      </c>
      <c r="I244" s="54">
        <v>4</v>
      </c>
      <c r="J244" s="55">
        <v>3228.9</v>
      </c>
      <c r="K244" s="55">
        <v>2518.9</v>
      </c>
      <c r="L244" s="55">
        <v>710</v>
      </c>
      <c r="M244" s="56">
        <v>136</v>
      </c>
      <c r="N244" s="108">
        <f t="shared" si="72"/>
        <v>14286136.425456621</v>
      </c>
      <c r="O244" s="63"/>
      <c r="P244" s="63">
        <f>1321795.74+6508327.07</f>
        <v>7830122.8100000005</v>
      </c>
      <c r="Q244" s="63"/>
      <c r="R244" s="63">
        <v>628700.87</v>
      </c>
      <c r="S244" s="63">
        <v>5827312.7454566201</v>
      </c>
      <c r="T244" s="113"/>
      <c r="U244" s="63">
        <v>9513.9106089427696</v>
      </c>
      <c r="V244" s="63">
        <v>1259.2830200640001</v>
      </c>
      <c r="W244" s="109">
        <v>2023</v>
      </c>
      <c r="X244" s="6" t="e">
        <v>#REF!</v>
      </c>
      <c r="Z244" s="62">
        <f t="shared" ref="Z244:Z253" si="77">SUM(AA244:AO244)</f>
        <v>27107198.400000002</v>
      </c>
      <c r="AA244" s="55">
        <v>5940143.1063865796</v>
      </c>
      <c r="AB244" s="55">
        <v>2116717.1923795799</v>
      </c>
      <c r="AC244" s="55">
        <v>2211498.4827243001</v>
      </c>
      <c r="AD244" s="55">
        <v>1384537.88247348</v>
      </c>
      <c r="AE244" s="55">
        <v>847110.81731472001</v>
      </c>
      <c r="AF244" s="55"/>
      <c r="AG244" s="55">
        <v>227939.55009504</v>
      </c>
      <c r="AH244" s="55">
        <v>0</v>
      </c>
      <c r="AI244" s="55">
        <v>10859485.412210399</v>
      </c>
      <c r="AJ244" s="55">
        <v>0</v>
      </c>
      <c r="AK244" s="55">
        <v>0</v>
      </c>
      <c r="AL244" s="55">
        <v>0</v>
      </c>
      <c r="AM244" s="55">
        <v>2732884.5975000001</v>
      </c>
      <c r="AN244" s="63">
        <v>271071.984</v>
      </c>
      <c r="AO244" s="64">
        <v>515809.3749159</v>
      </c>
      <c r="AP244" s="61">
        <f>+N244-'Приложение №2'!E244</f>
        <v>0</v>
      </c>
      <c r="AQ244" s="6">
        <f>2448991.46-R69</f>
        <v>1217475.007738</v>
      </c>
      <c r="AR244" s="3">
        <f>+(K244*10.5+L244*21)*12*0.85</f>
        <v>421856.18999999994</v>
      </c>
      <c r="AS244" s="3">
        <f>+(K244*10.5+L244*21)*12*30</f>
        <v>14889041.999999998</v>
      </c>
      <c r="AT244" s="6">
        <f t="shared" si="73"/>
        <v>-9061729.2545433789</v>
      </c>
      <c r="AU244" s="6" t="e">
        <v>#REF!</v>
      </c>
      <c r="AV244" s="6" t="e">
        <v>#REF!</v>
      </c>
      <c r="AW244" s="110">
        <f t="shared" si="74"/>
        <v>23964589.43286594</v>
      </c>
      <c r="AX244" s="55">
        <v>6033410.3300000001</v>
      </c>
      <c r="AY244" s="55">
        <v>2116717.1923795799</v>
      </c>
      <c r="AZ244" s="55">
        <v>2211498.4827243001</v>
      </c>
      <c r="BA244" s="55">
        <v>2020165.83</v>
      </c>
      <c r="BB244" s="55"/>
      <c r="BC244" s="55"/>
      <c r="BD244" s="55">
        <v>227939.55009504</v>
      </c>
      <c r="BE244" s="55">
        <v>0</v>
      </c>
      <c r="BF244" s="55">
        <v>10859485.412210399</v>
      </c>
      <c r="BG244" s="55">
        <v>0</v>
      </c>
      <c r="BH244" s="55">
        <v>0</v>
      </c>
      <c r="BI244" s="55">
        <v>0</v>
      </c>
      <c r="BJ244" s="55"/>
      <c r="BK244" s="63"/>
      <c r="BL244" s="111">
        <v>495372.63545662002</v>
      </c>
      <c r="BM244" s="110">
        <f t="shared" si="75"/>
        <v>22460885.300655544</v>
      </c>
      <c r="BN244" s="55">
        <v>6033410.3300000001</v>
      </c>
      <c r="BO244" s="55">
        <v>2116717.1923795799</v>
      </c>
      <c r="BP244" s="55">
        <v>2211498.4827243001</v>
      </c>
      <c r="BQ244" s="55">
        <v>2020165.83</v>
      </c>
      <c r="BR244" s="55"/>
      <c r="BS244" s="55"/>
      <c r="BT244" s="55">
        <v>227939.55009504</v>
      </c>
      <c r="BU244" s="55">
        <v>0</v>
      </c>
      <c r="BV244" s="118">
        <v>9355781.2799999993</v>
      </c>
      <c r="BW244" s="55">
        <v>0</v>
      </c>
      <c r="BX244" s="55">
        <v>0</v>
      </c>
      <c r="BY244" s="55">
        <v>0</v>
      </c>
      <c r="BZ244" s="55"/>
      <c r="CA244" s="63"/>
      <c r="CB244" s="64">
        <v>495372.63545662002</v>
      </c>
      <c r="CD244" s="6"/>
    </row>
    <row r="245" spans="1:82" x14ac:dyDescent="0.25">
      <c r="A245" s="105">
        <f t="shared" si="76"/>
        <v>226</v>
      </c>
      <c r="B245" s="106">
        <f t="shared" si="71"/>
        <v>38</v>
      </c>
      <c r="C245" s="53" t="s">
        <v>108</v>
      </c>
      <c r="D245" s="53" t="s">
        <v>128</v>
      </c>
      <c r="E245" s="54">
        <v>1963</v>
      </c>
      <c r="F245" s="54">
        <v>2013</v>
      </c>
      <c r="G245" s="54" t="s">
        <v>64</v>
      </c>
      <c r="H245" s="54">
        <v>4</v>
      </c>
      <c r="I245" s="54">
        <v>3</v>
      </c>
      <c r="J245" s="55">
        <v>2328.4</v>
      </c>
      <c r="K245" s="55">
        <v>1950.9</v>
      </c>
      <c r="L245" s="55">
        <v>377.5</v>
      </c>
      <c r="M245" s="56">
        <v>49</v>
      </c>
      <c r="N245" s="112">
        <f t="shared" si="72"/>
        <v>1079116.94161744</v>
      </c>
      <c r="O245" s="55"/>
      <c r="P245" s="63"/>
      <c r="Q245" s="63"/>
      <c r="R245" s="63">
        <v>123299.36</v>
      </c>
      <c r="S245" s="63">
        <v>955817.58161743998</v>
      </c>
      <c r="T245" s="55"/>
      <c r="U245" s="63">
        <v>463.458573104896</v>
      </c>
      <c r="V245" s="63">
        <v>463.458573104896</v>
      </c>
      <c r="W245" s="109">
        <v>2023</v>
      </c>
      <c r="X245" s="6" t="e">
        <v>#REF!</v>
      </c>
      <c r="Z245" s="62">
        <f t="shared" si="77"/>
        <v>11906775.32</v>
      </c>
      <c r="AA245" s="55">
        <v>4786275.2192018405</v>
      </c>
      <c r="AB245" s="55">
        <v>1705546.6285494</v>
      </c>
      <c r="AC245" s="55">
        <v>1781916.7351927201</v>
      </c>
      <c r="AD245" s="55">
        <v>1115592.5413768799</v>
      </c>
      <c r="AE245" s="55">
        <v>682560.24163362</v>
      </c>
      <c r="AF245" s="55"/>
      <c r="AG245" s="55">
        <v>183662.48366172001</v>
      </c>
      <c r="AH245" s="55">
        <v>0</v>
      </c>
      <c r="AI245" s="55">
        <v>0</v>
      </c>
      <c r="AJ245" s="55">
        <v>0</v>
      </c>
      <c r="AK245" s="55">
        <v>0</v>
      </c>
      <c r="AL245" s="55">
        <v>0</v>
      </c>
      <c r="AM245" s="55">
        <v>1307885.5255</v>
      </c>
      <c r="AN245" s="63">
        <v>119067.75320000001</v>
      </c>
      <c r="AO245" s="64">
        <v>224268.19168382001</v>
      </c>
      <c r="AP245" s="61">
        <f>+N245-'Приложение №2'!E245</f>
        <v>0</v>
      </c>
      <c r="AQ245" s="6">
        <f>1234380.76-R71</f>
        <v>473105.86838255997</v>
      </c>
      <c r="AR245" s="3">
        <f>+(K245*10+L245*20)*12*0.85</f>
        <v>276001.8</v>
      </c>
      <c r="AS245" s="3">
        <f>+(K245*10+L245*20)*12*30-S71</f>
        <v>5910049.0099999998</v>
      </c>
      <c r="AT245" s="6">
        <f t="shared" si="73"/>
        <v>-4954231.4283825597</v>
      </c>
      <c r="AW245" s="62">
        <f t="shared" si="74"/>
        <v>1079116.94161744</v>
      </c>
      <c r="AX245" s="7"/>
      <c r="AY245" s="7"/>
      <c r="AZ245" s="7"/>
      <c r="BA245" s="55"/>
      <c r="BB245" s="55">
        <v>869774.96</v>
      </c>
      <c r="BC245" s="55"/>
      <c r="BD245" s="55"/>
      <c r="BE245" s="55">
        <v>0</v>
      </c>
      <c r="BF245" s="55">
        <v>0</v>
      </c>
      <c r="BG245" s="55">
        <v>0</v>
      </c>
      <c r="BH245" s="55">
        <v>0</v>
      </c>
      <c r="BI245" s="55">
        <v>0</v>
      </c>
      <c r="BJ245" s="55"/>
      <c r="BK245" s="63"/>
      <c r="BL245" s="111">
        <v>209341.98161744</v>
      </c>
      <c r="BM245" s="62">
        <f t="shared" si="75"/>
        <v>1079116.94161744</v>
      </c>
      <c r="BN245" s="7"/>
      <c r="BO245" s="7"/>
      <c r="BP245" s="7"/>
      <c r="BQ245" s="55"/>
      <c r="BR245" s="55">
        <v>869774.96</v>
      </c>
      <c r="BS245" s="55"/>
      <c r="BT245" s="55"/>
      <c r="BU245" s="55">
        <v>0</v>
      </c>
      <c r="BV245" s="55">
        <v>0</v>
      </c>
      <c r="BW245" s="55">
        <v>0</v>
      </c>
      <c r="BX245" s="55">
        <v>0</v>
      </c>
      <c r="BY245" s="55">
        <v>0</v>
      </c>
      <c r="BZ245" s="55"/>
      <c r="CA245" s="63"/>
      <c r="CB245" s="64">
        <v>209341.98161744</v>
      </c>
      <c r="CD245" s="3"/>
    </row>
    <row r="246" spans="1:82" x14ac:dyDescent="0.25">
      <c r="A246" s="105">
        <f t="shared" si="76"/>
        <v>227</v>
      </c>
      <c r="B246" s="106">
        <f t="shared" si="71"/>
        <v>39</v>
      </c>
      <c r="C246" s="107" t="s">
        <v>108</v>
      </c>
      <c r="D246" s="107" t="s">
        <v>119</v>
      </c>
      <c r="E246" s="128">
        <v>1963</v>
      </c>
      <c r="F246" s="128">
        <v>2013</v>
      </c>
      <c r="G246" s="128" t="s">
        <v>64</v>
      </c>
      <c r="H246" s="128">
        <v>4</v>
      </c>
      <c r="I246" s="128">
        <v>4</v>
      </c>
      <c r="J246" s="63">
        <v>5268.75</v>
      </c>
      <c r="K246" s="63">
        <v>3170.15</v>
      </c>
      <c r="L246" s="63">
        <v>2098.6</v>
      </c>
      <c r="M246" s="129">
        <v>92</v>
      </c>
      <c r="N246" s="108">
        <f t="shared" si="72"/>
        <v>2788244.6345060002</v>
      </c>
      <c r="O246" s="63"/>
      <c r="P246" s="63"/>
      <c r="Q246" s="63"/>
      <c r="R246" s="63">
        <v>0</v>
      </c>
      <c r="S246" s="63">
        <v>2788244.6345060002</v>
      </c>
      <c r="T246" s="63"/>
      <c r="U246" s="63">
        <v>1029.16693988251</v>
      </c>
      <c r="V246" s="63">
        <v>1029.16693988251</v>
      </c>
      <c r="W246" s="109">
        <v>2023</v>
      </c>
      <c r="X246" s="6" t="e">
        <v>#REF!</v>
      </c>
      <c r="Z246" s="62">
        <f t="shared" si="77"/>
        <v>55905524.456026606</v>
      </c>
      <c r="AA246" s="55">
        <v>8910375.13096359</v>
      </c>
      <c r="AB246" s="55">
        <v>3183729.7650160301</v>
      </c>
      <c r="AC246" s="55">
        <v>3374754.2381990599</v>
      </c>
      <c r="AD246" s="55">
        <v>2149419.79800305</v>
      </c>
      <c r="AE246" s="55">
        <v>1581654.1276199999</v>
      </c>
      <c r="AF246" s="55"/>
      <c r="AG246" s="55">
        <v>320562.32128199999</v>
      </c>
      <c r="AH246" s="55">
        <v>0</v>
      </c>
      <c r="AI246" s="55">
        <v>16307858.9365629</v>
      </c>
      <c r="AJ246" s="55">
        <v>0</v>
      </c>
      <c r="AK246" s="55">
        <v>8424086.4921022002</v>
      </c>
      <c r="AL246" s="55">
        <v>9161049.1317717694</v>
      </c>
      <c r="AM246" s="55">
        <v>1263665.5900000001</v>
      </c>
      <c r="AN246" s="55">
        <v>60324.08</v>
      </c>
      <c r="AO246" s="64">
        <v>1168044.8445059999</v>
      </c>
      <c r="AP246" s="61">
        <f>+N246-'Приложение №2'!E246</f>
        <v>0</v>
      </c>
      <c r="AQ246" s="6">
        <f>3051973.41-R65</f>
        <v>-751469.69999999972</v>
      </c>
      <c r="AR246" s="3">
        <f>+(K246*10+L246*20)*12*0.85</f>
        <v>751469.7</v>
      </c>
      <c r="AS246" s="3">
        <f>+(K246*10+L246*20)*12*30-S65</f>
        <v>14009140.329692001</v>
      </c>
      <c r="AT246" s="6">
        <f t="shared" si="73"/>
        <v>-11220895.695186</v>
      </c>
      <c r="AU246" s="6" t="e">
        <v>#REF!</v>
      </c>
      <c r="AV246" s="6" t="e">
        <v>#REF!</v>
      </c>
      <c r="AW246" s="62">
        <f t="shared" si="74"/>
        <v>5422423.3145060008</v>
      </c>
      <c r="AX246" s="55"/>
      <c r="AY246" s="55">
        <v>2634178.6800000002</v>
      </c>
      <c r="AZ246" s="55">
        <v>1620199.79</v>
      </c>
      <c r="BB246" s="55"/>
      <c r="BC246" s="55"/>
      <c r="BD246" s="55"/>
      <c r="BE246" s="55">
        <v>0</v>
      </c>
      <c r="BF246" s="55"/>
      <c r="BG246" s="55"/>
      <c r="BH246" s="55"/>
      <c r="BI246" s="55"/>
      <c r="BJ246" s="55"/>
      <c r="BK246" s="55"/>
      <c r="BL246" s="111">
        <v>1168044.8445059999</v>
      </c>
      <c r="BM246" s="62">
        <f t="shared" si="75"/>
        <v>5422423.3145060008</v>
      </c>
      <c r="BN246" s="55"/>
      <c r="BO246" s="55">
        <v>2634178.6800000002</v>
      </c>
      <c r="BP246" s="55">
        <v>1620199.79</v>
      </c>
      <c r="BR246" s="55"/>
      <c r="BS246" s="55"/>
      <c r="BT246" s="55"/>
      <c r="BU246" s="55">
        <v>0</v>
      </c>
      <c r="BV246" s="55"/>
      <c r="BW246" s="55"/>
      <c r="BX246" s="55"/>
      <c r="BY246" s="55"/>
      <c r="BZ246" s="55"/>
      <c r="CA246" s="55"/>
      <c r="CB246" s="64">
        <v>1168044.8445059999</v>
      </c>
      <c r="CD246" s="6"/>
    </row>
    <row r="247" spans="1:82" x14ac:dyDescent="0.25">
      <c r="A247" s="105">
        <f t="shared" si="76"/>
        <v>228</v>
      </c>
      <c r="B247" s="106">
        <f t="shared" si="71"/>
        <v>40</v>
      </c>
      <c r="C247" s="107" t="s">
        <v>108</v>
      </c>
      <c r="D247" s="107" t="s">
        <v>330</v>
      </c>
      <c r="E247" s="128">
        <v>1971</v>
      </c>
      <c r="F247" s="128">
        <v>1971</v>
      </c>
      <c r="G247" s="128" t="s">
        <v>64</v>
      </c>
      <c r="H247" s="128">
        <v>1</v>
      </c>
      <c r="I247" s="128">
        <v>5</v>
      </c>
      <c r="J247" s="63">
        <v>672.9</v>
      </c>
      <c r="K247" s="63">
        <v>672.9</v>
      </c>
      <c r="L247" s="63">
        <v>0</v>
      </c>
      <c r="M247" s="129">
        <v>33</v>
      </c>
      <c r="N247" s="108">
        <f t="shared" si="72"/>
        <v>4379288.2758488804</v>
      </c>
      <c r="O247" s="63"/>
      <c r="P247" s="63">
        <v>1327718.8500000001</v>
      </c>
      <c r="Q247" s="63"/>
      <c r="R247" s="63">
        <v>389981.19</v>
      </c>
      <c r="S247" s="63">
        <v>2661588.2358488799</v>
      </c>
      <c r="T247" s="63"/>
      <c r="U247" s="63">
        <v>6508.0818484899401</v>
      </c>
      <c r="V247" s="63">
        <v>1260.2830200640001</v>
      </c>
      <c r="W247" s="109">
        <v>2023</v>
      </c>
      <c r="X247" s="6" t="e">
        <v>#REF!</v>
      </c>
      <c r="Z247" s="62">
        <f t="shared" si="77"/>
        <v>10663801.739999998</v>
      </c>
      <c r="AA247" s="55">
        <v>1006695.23246838</v>
      </c>
      <c r="AB247" s="55">
        <v>582199.37404271995</v>
      </c>
      <c r="AC247" s="55">
        <v>615427.84556945995</v>
      </c>
      <c r="AD247" s="55">
        <v>469268.96418359998</v>
      </c>
      <c r="AE247" s="55">
        <v>0</v>
      </c>
      <c r="AF247" s="55"/>
      <c r="AG247" s="55">
        <v>0</v>
      </c>
      <c r="AH247" s="55">
        <v>0</v>
      </c>
      <c r="AI247" s="55">
        <v>1792070.7864570001</v>
      </c>
      <c r="AJ247" s="55">
        <v>0</v>
      </c>
      <c r="AK247" s="55">
        <v>3479315.59778166</v>
      </c>
      <c r="AL247" s="55">
        <v>1368370.2001410001</v>
      </c>
      <c r="AM247" s="55">
        <v>1040151.6639</v>
      </c>
      <c r="AN247" s="63">
        <v>106638.0174</v>
      </c>
      <c r="AO247" s="64">
        <v>203664.05805617999</v>
      </c>
      <c r="AP247" s="61">
        <f>+N247-'Приложение №2'!E247</f>
        <v>0</v>
      </c>
      <c r="AQ247" s="65">
        <v>317913.59999999998</v>
      </c>
      <c r="AR247" s="3">
        <f>+(K247*10.5+L247*21)*12*0.85</f>
        <v>72067.59</v>
      </c>
      <c r="AS247" s="3">
        <f>+(K247*10.5+L247*21)*12*30</f>
        <v>2543562</v>
      </c>
      <c r="AT247" s="6">
        <f t="shared" si="73"/>
        <v>118026.23584887991</v>
      </c>
      <c r="AU247" s="6" t="e">
        <v>#REF!</v>
      </c>
      <c r="AV247" s="6" t="e">
        <v>#REF!</v>
      </c>
      <c r="AW247" s="110">
        <f t="shared" si="74"/>
        <v>4184287.1891999999</v>
      </c>
      <c r="AX247" s="55"/>
      <c r="AY247" s="55"/>
      <c r="AZ247" s="55">
        <v>615427.84556945995</v>
      </c>
      <c r="BA247" s="55"/>
      <c r="BB247" s="55">
        <v>0</v>
      </c>
      <c r="BC247" s="55"/>
      <c r="BD247" s="55"/>
      <c r="BE247" s="55">
        <v>0</v>
      </c>
      <c r="BF247" s="55"/>
      <c r="BG247" s="55">
        <v>0</v>
      </c>
      <c r="BH247" s="55">
        <v>3479315.59778166</v>
      </c>
      <c r="BI247" s="55"/>
      <c r="BJ247" s="55"/>
      <c r="BK247" s="63"/>
      <c r="BL247" s="111">
        <v>89543.745848880004</v>
      </c>
      <c r="BM247" s="110">
        <f t="shared" si="75"/>
        <v>4379288.2758488804</v>
      </c>
      <c r="BN247" s="55"/>
      <c r="BO247" s="55"/>
      <c r="BP247" s="55">
        <v>1021002.86</v>
      </c>
      <c r="BQ247" s="55"/>
      <c r="BR247" s="55">
        <v>0</v>
      </c>
      <c r="BS247" s="55"/>
      <c r="BT247" s="55"/>
      <c r="BU247" s="55">
        <v>0</v>
      </c>
      <c r="BV247" s="55"/>
      <c r="BW247" s="55">
        <v>0</v>
      </c>
      <c r="BX247" s="55">
        <v>3268741.67</v>
      </c>
      <c r="BY247" s="55"/>
      <c r="BZ247" s="55"/>
      <c r="CA247" s="63"/>
      <c r="CB247" s="64">
        <v>89543.745848880004</v>
      </c>
    </row>
    <row r="248" spans="1:82" x14ac:dyDescent="0.25">
      <c r="A248" s="105">
        <f t="shared" si="76"/>
        <v>229</v>
      </c>
      <c r="B248" s="106">
        <f t="shared" si="71"/>
        <v>41</v>
      </c>
      <c r="C248" s="107" t="s">
        <v>108</v>
      </c>
      <c r="D248" s="107" t="s">
        <v>129</v>
      </c>
      <c r="E248" s="128">
        <v>1989</v>
      </c>
      <c r="F248" s="128">
        <v>2017</v>
      </c>
      <c r="G248" s="128" t="s">
        <v>64</v>
      </c>
      <c r="H248" s="128">
        <v>9</v>
      </c>
      <c r="I248" s="128">
        <v>3</v>
      </c>
      <c r="J248" s="63">
        <v>7106.9</v>
      </c>
      <c r="K248" s="63">
        <v>6247.4</v>
      </c>
      <c r="L248" s="63">
        <v>0</v>
      </c>
      <c r="M248" s="129">
        <v>249</v>
      </c>
      <c r="N248" s="108">
        <f t="shared" si="72"/>
        <v>22180003.6142166</v>
      </c>
      <c r="O248" s="63"/>
      <c r="P248" s="63"/>
      <c r="Q248" s="63"/>
      <c r="R248" s="63">
        <v>3566852.3591999998</v>
      </c>
      <c r="S248" s="63">
        <v>18613151.255016599</v>
      </c>
      <c r="T248" s="63"/>
      <c r="U248" s="63">
        <v>7522.6876761892399</v>
      </c>
      <c r="V248" s="63">
        <v>7522.6876761892399</v>
      </c>
      <c r="W248" s="109">
        <v>2023</v>
      </c>
      <c r="X248" s="6" t="e">
        <v>#REF!</v>
      </c>
      <c r="Z248" s="62">
        <f t="shared" si="77"/>
        <v>25881031.239999998</v>
      </c>
      <c r="AA248" s="55"/>
      <c r="AB248" s="55"/>
      <c r="AC248" s="55"/>
      <c r="AD248" s="55"/>
      <c r="AE248" s="55">
        <v>0</v>
      </c>
      <c r="AF248" s="55"/>
      <c r="AG248" s="55"/>
      <c r="AH248" s="55">
        <v>0</v>
      </c>
      <c r="AI248" s="55"/>
      <c r="AJ248" s="55">
        <v>0</v>
      </c>
      <c r="AK248" s="55">
        <v>25881031.239999998</v>
      </c>
      <c r="AL248" s="55">
        <v>0</v>
      </c>
      <c r="AM248" s="55"/>
      <c r="AN248" s="63"/>
      <c r="AO248" s="64"/>
      <c r="AP248" s="61">
        <f>+N248-'Приложение №2'!E248</f>
        <v>0</v>
      </c>
      <c r="AQ248" s="1">
        <v>2787898.61</v>
      </c>
      <c r="AR248" s="3">
        <f>+(K248*13.29+L248*22.52)*12*0.85</f>
        <v>846885.04919999989</v>
      </c>
      <c r="AS248" s="3">
        <f>+(K248*13.29+L248*22.52)*12*30-131853.4</f>
        <v>29758207.16</v>
      </c>
      <c r="AT248" s="6">
        <f t="shared" si="73"/>
        <v>-11145055.904983401</v>
      </c>
      <c r="AU248" s="6" t="e">
        <v>#REF!</v>
      </c>
      <c r="AV248" s="6" t="e">
        <v>#REF!</v>
      </c>
      <c r="AW248" s="62">
        <f t="shared" si="74"/>
        <v>46997238.988224618</v>
      </c>
      <c r="AX248" s="55">
        <v>4565506.96</v>
      </c>
      <c r="AY248" s="55">
        <v>0</v>
      </c>
      <c r="AZ248" s="55">
        <v>1227624.8600000001</v>
      </c>
      <c r="BA248" s="55"/>
      <c r="BB248" s="55">
        <v>0</v>
      </c>
      <c r="BC248" s="55"/>
      <c r="BD248" s="55"/>
      <c r="BE248" s="55">
        <v>0</v>
      </c>
      <c r="BF248" s="55"/>
      <c r="BG248" s="55">
        <v>0</v>
      </c>
      <c r="BH248" s="55">
        <v>40313035.834008001</v>
      </c>
      <c r="BI248" s="55">
        <v>0</v>
      </c>
      <c r="BJ248" s="55"/>
      <c r="BK248" s="63"/>
      <c r="BL248" s="111">
        <v>891071.33421661996</v>
      </c>
      <c r="BM248" s="62">
        <f t="shared" si="75"/>
        <v>20197834.85421662</v>
      </c>
      <c r="BN248" s="118">
        <v>6402530.3799999999</v>
      </c>
      <c r="BO248" s="55">
        <v>0</v>
      </c>
      <c r="BP248" s="55">
        <v>1227624.8600000001</v>
      </c>
      <c r="BQ248" s="55"/>
      <c r="BR248" s="55">
        <v>0</v>
      </c>
      <c r="BS248" s="55"/>
      <c r="BT248" s="55"/>
      <c r="BU248" s="55">
        <v>0</v>
      </c>
      <c r="BV248" s="55"/>
      <c r="BW248" s="55">
        <v>0</v>
      </c>
      <c r="BX248" s="118">
        <v>11676608.279999999</v>
      </c>
      <c r="BY248" s="55">
        <v>0</v>
      </c>
      <c r="BZ248" s="55"/>
      <c r="CA248" s="63"/>
      <c r="CB248" s="64">
        <v>891071.33421661996</v>
      </c>
      <c r="CD248" s="130"/>
    </row>
    <row r="249" spans="1:82" x14ac:dyDescent="0.25">
      <c r="A249" s="105">
        <f t="shared" si="76"/>
        <v>230</v>
      </c>
      <c r="B249" s="106">
        <f t="shared" si="71"/>
        <v>42</v>
      </c>
      <c r="C249" s="107" t="s">
        <v>108</v>
      </c>
      <c r="D249" s="107" t="s">
        <v>130</v>
      </c>
      <c r="E249" s="128">
        <v>1989</v>
      </c>
      <c r="F249" s="128">
        <v>2017</v>
      </c>
      <c r="G249" s="128" t="s">
        <v>64</v>
      </c>
      <c r="H249" s="128">
        <v>9</v>
      </c>
      <c r="I249" s="128">
        <v>3</v>
      </c>
      <c r="J249" s="63">
        <v>8049.4</v>
      </c>
      <c r="K249" s="63">
        <v>6639.6</v>
      </c>
      <c r="L249" s="63">
        <v>0</v>
      </c>
      <c r="M249" s="129">
        <v>258</v>
      </c>
      <c r="N249" s="108">
        <f t="shared" si="72"/>
        <v>6757401.9974930594</v>
      </c>
      <c r="O249" s="63"/>
      <c r="P249" s="63">
        <v>394840.28</v>
      </c>
      <c r="Q249" s="63"/>
      <c r="R249" s="63">
        <v>1975930.73</v>
      </c>
      <c r="S249" s="63">
        <v>4386630.9874930596</v>
      </c>
      <c r="T249" s="55"/>
      <c r="U249" s="55">
        <v>1291.17205516794</v>
      </c>
      <c r="V249" s="63">
        <v>1291.17205516794</v>
      </c>
      <c r="W249" s="109">
        <v>2023</v>
      </c>
      <c r="X249" s="6" t="e">
        <v>#REF!</v>
      </c>
      <c r="Z249" s="62">
        <f t="shared" si="77"/>
        <v>34535107.586130932</v>
      </c>
      <c r="AA249" s="55">
        <v>9503098.7698319405</v>
      </c>
      <c r="AB249" s="55">
        <v>0</v>
      </c>
      <c r="AC249" s="55">
        <v>6138860.8976629199</v>
      </c>
      <c r="AD249" s="55">
        <v>2958309.3156556799</v>
      </c>
      <c r="AE249" s="55">
        <v>0</v>
      </c>
      <c r="AF249" s="55"/>
      <c r="AG249" s="55">
        <v>715245.76767840004</v>
      </c>
      <c r="AH249" s="55">
        <v>0</v>
      </c>
      <c r="AI249" s="55">
        <v>5352142.2195779998</v>
      </c>
      <c r="AJ249" s="55">
        <v>0</v>
      </c>
      <c r="AK249" s="55"/>
      <c r="AL249" s="55">
        <v>0</v>
      </c>
      <c r="AM249" s="55">
        <v>7589459.6135999998</v>
      </c>
      <c r="AN249" s="63">
        <v>782532.36640000006</v>
      </c>
      <c r="AO249" s="64">
        <v>1495458.6357239999</v>
      </c>
      <c r="AP249" s="61">
        <f>+N249-'Приложение №2'!E249</f>
        <v>0</v>
      </c>
      <c r="AQ249" s="6">
        <f>4261157.78-R73</f>
        <v>4261157.78</v>
      </c>
      <c r="AR249" s="3">
        <f>+(K249*13.29+L249*22.52)*12*0.85</f>
        <v>900050.89679999999</v>
      </c>
      <c r="AS249" s="3">
        <f>+(K249*13.29+L249*22.52)*12*30-14694406.85-S73</f>
        <v>13686757.412506942</v>
      </c>
      <c r="AT249" s="6">
        <f t="shared" si="73"/>
        <v>-9300126.4250138812</v>
      </c>
      <c r="AW249" s="62">
        <f t="shared" si="74"/>
        <v>8572865.9774930608</v>
      </c>
      <c r="AX249" s="55">
        <v>3795804.42</v>
      </c>
      <c r="AY249" s="55">
        <v>0</v>
      </c>
      <c r="AZ249" s="55">
        <v>1815463.98</v>
      </c>
      <c r="BA249" s="55">
        <v>2422165.88</v>
      </c>
      <c r="BB249" s="55">
        <v>0</v>
      </c>
      <c r="BC249" s="55"/>
      <c r="BD249" s="55"/>
      <c r="BE249" s="55">
        <v>0</v>
      </c>
      <c r="BF249" s="55"/>
      <c r="BG249" s="55">
        <v>0</v>
      </c>
      <c r="BH249" s="55"/>
      <c r="BI249" s="55">
        <v>0</v>
      </c>
      <c r="BJ249" s="55"/>
      <c r="BK249" s="63"/>
      <c r="BL249" s="111">
        <v>539431.69749306003</v>
      </c>
      <c r="BM249" s="62">
        <f t="shared" si="75"/>
        <v>8572865.9774930608</v>
      </c>
      <c r="BN249" s="55">
        <v>3795804.42</v>
      </c>
      <c r="BO249" s="55">
        <v>0</v>
      </c>
      <c r="BP249" s="55">
        <v>1815463.98</v>
      </c>
      <c r="BQ249" s="55">
        <v>2422165.88</v>
      </c>
      <c r="BR249" s="55">
        <v>0</v>
      </c>
      <c r="BS249" s="55"/>
      <c r="BT249" s="55"/>
      <c r="BU249" s="55">
        <v>0</v>
      </c>
      <c r="BV249" s="55"/>
      <c r="BW249" s="55">
        <v>0</v>
      </c>
      <c r="BX249" s="55"/>
      <c r="BY249" s="55">
        <v>0</v>
      </c>
      <c r="BZ249" s="55"/>
      <c r="CA249" s="63"/>
      <c r="CB249" s="64">
        <v>539431.69749306003</v>
      </c>
      <c r="CD249" s="117"/>
    </row>
    <row r="250" spans="1:82" x14ac:dyDescent="0.25">
      <c r="A250" s="105">
        <f t="shared" si="76"/>
        <v>231</v>
      </c>
      <c r="B250" s="106">
        <f t="shared" ref="B250:B281" si="78">+B249+1</f>
        <v>43</v>
      </c>
      <c r="C250" s="107" t="s">
        <v>108</v>
      </c>
      <c r="D250" s="107" t="s">
        <v>131</v>
      </c>
      <c r="E250" s="128">
        <v>1994</v>
      </c>
      <c r="F250" s="128">
        <v>2013</v>
      </c>
      <c r="G250" s="128" t="s">
        <v>64</v>
      </c>
      <c r="H250" s="128">
        <v>9</v>
      </c>
      <c r="I250" s="128">
        <v>3</v>
      </c>
      <c r="J250" s="63">
        <v>7891.7</v>
      </c>
      <c r="K250" s="63">
        <v>6600.8</v>
      </c>
      <c r="L250" s="63">
        <v>0</v>
      </c>
      <c r="M250" s="129">
        <v>291</v>
      </c>
      <c r="N250" s="108">
        <f t="shared" si="72"/>
        <v>3089086.0895791799</v>
      </c>
      <c r="O250" s="63"/>
      <c r="P250" s="63"/>
      <c r="Q250" s="63"/>
      <c r="R250" s="63"/>
      <c r="S250" s="6">
        <v>3089086.0895791799</v>
      </c>
      <c r="T250" s="55"/>
      <c r="U250" s="55">
        <v>1911.3708574535201</v>
      </c>
      <c r="V250" s="63">
        <v>1911.3708574535201</v>
      </c>
      <c r="W250" s="109">
        <v>2023</v>
      </c>
      <c r="Z250" s="62">
        <f t="shared" si="77"/>
        <v>8703397.3199999984</v>
      </c>
      <c r="AA250" s="55"/>
      <c r="AB250" s="63"/>
      <c r="AC250" s="55"/>
      <c r="AD250" s="55"/>
      <c r="AE250" s="63">
        <v>0</v>
      </c>
      <c r="AF250" s="63">
        <v>0</v>
      </c>
      <c r="AG250" s="63"/>
      <c r="AH250" s="63">
        <v>8628684.8599999994</v>
      </c>
      <c r="AI250" s="55"/>
      <c r="AJ250" s="63">
        <v>0</v>
      </c>
      <c r="AK250" s="55"/>
      <c r="AL250" s="63">
        <v>0</v>
      </c>
      <c r="AM250" s="55">
        <v>55020.37</v>
      </c>
      <c r="AN250" s="55">
        <v>19692.09</v>
      </c>
      <c r="AO250" s="60"/>
      <c r="AP250" s="61">
        <f>+N250-'Приложение №2'!E250</f>
        <v>0</v>
      </c>
      <c r="AQ250" s="6" t="e">
        <f>4161512.94-301266.52-3086934.55-#REF!</f>
        <v>#REF!</v>
      </c>
      <c r="AR250" s="3">
        <f>+(K250*13.29+L250*22.52)*12*0.85</f>
        <v>894791.24639999995</v>
      </c>
      <c r="AS250" s="3" t="e">
        <f>+(K250*13.29+L250*22.52)*12*30-1198680.53-8354818.57-#REF!</f>
        <v>#REF!</v>
      </c>
      <c r="AT250" s="6" t="e">
        <f t="shared" si="73"/>
        <v>#REF!</v>
      </c>
      <c r="AU250" s="6" t="e">
        <v>#REF!</v>
      </c>
      <c r="AV250" s="6" t="e">
        <v>#REF!</v>
      </c>
      <c r="AW250" s="62">
        <f t="shared" si="74"/>
        <v>12616576.755879182</v>
      </c>
      <c r="AX250" s="55">
        <v>4667209.49</v>
      </c>
      <c r="AY250" s="55">
        <v>0</v>
      </c>
      <c r="AZ250" s="55">
        <v>2134044.9700000002</v>
      </c>
      <c r="BA250" s="55">
        <v>2451411.64</v>
      </c>
      <c r="BB250" s="55"/>
      <c r="BC250" s="55"/>
      <c r="BD250" s="55"/>
      <c r="BE250" s="55">
        <v>0</v>
      </c>
      <c r="BF250" s="55"/>
      <c r="BG250" s="55">
        <v>0</v>
      </c>
      <c r="BH250" s="55"/>
      <c r="BI250" s="55">
        <v>0</v>
      </c>
      <c r="BJ250" s="55">
        <v>2550189.8569999998</v>
      </c>
      <c r="BK250" s="63">
        <v>278424.56929999997</v>
      </c>
      <c r="BL250" s="111">
        <v>535296.22957918001</v>
      </c>
      <c r="BM250" s="62">
        <f t="shared" si="75"/>
        <v>12616576.755879182</v>
      </c>
      <c r="BN250" s="55">
        <v>4667209.49</v>
      </c>
      <c r="BO250" s="55">
        <v>0</v>
      </c>
      <c r="BP250" s="55">
        <v>2134044.9700000002</v>
      </c>
      <c r="BQ250" s="55">
        <v>2451411.64</v>
      </c>
      <c r="BR250" s="55"/>
      <c r="BS250" s="55"/>
      <c r="BT250" s="55"/>
      <c r="BU250" s="55">
        <v>0</v>
      </c>
      <c r="BV250" s="55"/>
      <c r="BW250" s="55">
        <v>0</v>
      </c>
      <c r="BX250" s="55"/>
      <c r="BY250" s="55">
        <v>0</v>
      </c>
      <c r="BZ250" s="55">
        <v>2550189.8569999998</v>
      </c>
      <c r="CA250" s="63">
        <v>278424.56929999997</v>
      </c>
      <c r="CB250" s="64">
        <v>535296.22957918001</v>
      </c>
      <c r="CD250" s="117"/>
    </row>
    <row r="251" spans="1:82" x14ac:dyDescent="0.25">
      <c r="A251" s="105">
        <f t="shared" si="76"/>
        <v>232</v>
      </c>
      <c r="B251" s="106">
        <f t="shared" si="78"/>
        <v>44</v>
      </c>
      <c r="C251" s="107" t="s">
        <v>108</v>
      </c>
      <c r="D251" s="107" t="s">
        <v>132</v>
      </c>
      <c r="E251" s="128">
        <v>1987</v>
      </c>
      <c r="F251" s="128">
        <v>2013</v>
      </c>
      <c r="G251" s="128" t="s">
        <v>64</v>
      </c>
      <c r="H251" s="128">
        <v>3</v>
      </c>
      <c r="I251" s="128">
        <v>3</v>
      </c>
      <c r="J251" s="63">
        <v>1395.8</v>
      </c>
      <c r="K251" s="63">
        <v>1268</v>
      </c>
      <c r="L251" s="63">
        <v>0</v>
      </c>
      <c r="M251" s="129">
        <v>63</v>
      </c>
      <c r="N251" s="108">
        <f t="shared" si="72"/>
        <v>7552741.9318827204</v>
      </c>
      <c r="O251" s="63"/>
      <c r="P251" s="63">
        <v>6889278.4100000001</v>
      </c>
      <c r="Q251" s="63"/>
      <c r="R251" s="63">
        <v>227914.34</v>
      </c>
      <c r="S251" s="63">
        <v>435549.18188271997</v>
      </c>
      <c r="T251" s="55"/>
      <c r="U251" s="55">
        <v>5956.4210819264399</v>
      </c>
      <c r="V251" s="63">
        <v>5956.4210819264399</v>
      </c>
      <c r="W251" s="109">
        <v>2023</v>
      </c>
      <c r="X251" s="6" t="e">
        <v>#REF!</v>
      </c>
      <c r="Z251" s="62">
        <f t="shared" si="77"/>
        <v>20424271.120000001</v>
      </c>
      <c r="AA251" s="55">
        <v>3880461.3812546399</v>
      </c>
      <c r="AB251" s="55">
        <v>2361201.0958737601</v>
      </c>
      <c r="AC251" s="55">
        <v>1112617.8937948199</v>
      </c>
      <c r="AD251" s="55">
        <v>948184.97499599995</v>
      </c>
      <c r="AE251" s="55">
        <v>0</v>
      </c>
      <c r="AF251" s="55"/>
      <c r="AG251" s="55">
        <v>395993.45985528</v>
      </c>
      <c r="AH251" s="55">
        <v>0</v>
      </c>
      <c r="AI251" s="55">
        <v>0</v>
      </c>
      <c r="AJ251" s="55">
        <v>0</v>
      </c>
      <c r="AK251" s="55">
        <v>9178717.2150513008</v>
      </c>
      <c r="AL251" s="55">
        <v>0</v>
      </c>
      <c r="AM251" s="55">
        <v>1951914.7557999999</v>
      </c>
      <c r="AN251" s="63">
        <v>204242.71119999999</v>
      </c>
      <c r="AO251" s="64">
        <v>390937.63217419997</v>
      </c>
      <c r="AP251" s="61">
        <f>+N251-'Приложение №2'!E251</f>
        <v>0</v>
      </c>
      <c r="AQ251" s="6">
        <f>502354.09-R75</f>
        <v>89967.44</v>
      </c>
      <c r="AR251" s="3">
        <f>+(K251*10+L251*20)*12*0.85</f>
        <v>129336</v>
      </c>
      <c r="AS251" s="3">
        <f>+(K251*10+L251*20)*12*30-S75</f>
        <v>-1097293.7818827201</v>
      </c>
      <c r="AT251" s="6">
        <f t="shared" si="73"/>
        <v>1532842.96376544</v>
      </c>
      <c r="AW251" s="62">
        <f t="shared" si="74"/>
        <v>7552741.9318827204</v>
      </c>
      <c r="AX251" s="55">
        <v>3308322.58</v>
      </c>
      <c r="AY251" s="55">
        <v>2035764.2</v>
      </c>
      <c r="AZ251" s="55">
        <v>882116.62</v>
      </c>
      <c r="BA251" s="55">
        <v>903642.16</v>
      </c>
      <c r="BB251" s="55">
        <v>0</v>
      </c>
      <c r="BC251" s="55"/>
      <c r="BD251" s="55"/>
      <c r="BE251" s="55">
        <v>0</v>
      </c>
      <c r="BF251" s="55">
        <v>0</v>
      </c>
      <c r="BG251" s="55">
        <v>0</v>
      </c>
      <c r="BH251" s="55"/>
      <c r="BI251" s="55">
        <v>0</v>
      </c>
      <c r="BJ251" s="55"/>
      <c r="BK251" s="63"/>
      <c r="BL251" s="111">
        <v>422896.37188271998</v>
      </c>
      <c r="BM251" s="62">
        <f t="shared" si="75"/>
        <v>7552741.9318827204</v>
      </c>
      <c r="BN251" s="55">
        <v>3308322.58</v>
      </c>
      <c r="BO251" s="55">
        <v>2035764.2</v>
      </c>
      <c r="BP251" s="55">
        <v>882116.62</v>
      </c>
      <c r="BQ251" s="55">
        <v>903642.16</v>
      </c>
      <c r="BR251" s="55">
        <v>0</v>
      </c>
      <c r="BS251" s="55"/>
      <c r="BT251" s="55"/>
      <c r="BU251" s="55">
        <v>0</v>
      </c>
      <c r="BV251" s="55">
        <v>0</v>
      </c>
      <c r="BW251" s="55">
        <v>0</v>
      </c>
      <c r="BX251" s="55"/>
      <c r="BY251" s="55">
        <v>0</v>
      </c>
      <c r="BZ251" s="55"/>
      <c r="CA251" s="63"/>
      <c r="CB251" s="64">
        <v>422896.37188271998</v>
      </c>
      <c r="CD251" s="117"/>
    </row>
    <row r="252" spans="1:82" x14ac:dyDescent="0.25">
      <c r="A252" s="105">
        <f t="shared" si="76"/>
        <v>233</v>
      </c>
      <c r="B252" s="106">
        <f t="shared" si="78"/>
        <v>45</v>
      </c>
      <c r="C252" s="107" t="s">
        <v>108</v>
      </c>
      <c r="D252" s="107" t="s">
        <v>331</v>
      </c>
      <c r="E252" s="128">
        <v>1985</v>
      </c>
      <c r="F252" s="128">
        <v>2013</v>
      </c>
      <c r="G252" s="128" t="s">
        <v>64</v>
      </c>
      <c r="H252" s="128">
        <v>3</v>
      </c>
      <c r="I252" s="128">
        <v>3</v>
      </c>
      <c r="J252" s="63">
        <v>1439.1</v>
      </c>
      <c r="K252" s="63">
        <v>1284.3</v>
      </c>
      <c r="L252" s="63">
        <v>0</v>
      </c>
      <c r="M252" s="129">
        <v>55</v>
      </c>
      <c r="N252" s="108">
        <f t="shared" si="72"/>
        <v>15822920.381019302</v>
      </c>
      <c r="O252" s="63"/>
      <c r="P252" s="55">
        <f>2833527.66+196116.1</f>
        <v>3029643.7600000002</v>
      </c>
      <c r="Q252" s="63"/>
      <c r="R252" s="63">
        <v>771312.78</v>
      </c>
      <c r="S252" s="63">
        <v>12021963.841019301</v>
      </c>
      <c r="T252" s="55"/>
      <c r="U252" s="55">
        <v>32142.381580442499</v>
      </c>
      <c r="V252" s="63">
        <v>1262.2830200640001</v>
      </c>
      <c r="W252" s="109">
        <v>2023</v>
      </c>
      <c r="X252" s="6" t="e">
        <v>#REF!</v>
      </c>
      <c r="Z252" s="62">
        <f t="shared" si="77"/>
        <v>17444911.509005465</v>
      </c>
      <c r="AA252" s="55">
        <v>0</v>
      </c>
      <c r="AB252" s="55">
        <v>0</v>
      </c>
      <c r="AC252" s="55">
        <v>0</v>
      </c>
      <c r="AD252" s="55">
        <v>1124212.3435180299</v>
      </c>
      <c r="AE252" s="55">
        <v>0</v>
      </c>
      <c r="AF252" s="55"/>
      <c r="AG252" s="55">
        <v>0</v>
      </c>
      <c r="AH252" s="55">
        <v>0</v>
      </c>
      <c r="AI252" s="55">
        <v>4206748.5157533297</v>
      </c>
      <c r="AJ252" s="55">
        <v>0</v>
      </c>
      <c r="AK252" s="55">
        <v>8272430.9336326597</v>
      </c>
      <c r="AL252" s="55">
        <v>3193396.3000122099</v>
      </c>
      <c r="AM252" s="55">
        <v>215153.97</v>
      </c>
      <c r="AN252" s="55">
        <v>65657.709721273903</v>
      </c>
      <c r="AO252" s="64">
        <v>367311.736367965</v>
      </c>
      <c r="AP252" s="61">
        <f>+N252-'Приложение №2'!E252</f>
        <v>-4.6566128730773926E-8</v>
      </c>
      <c r="AQ252" s="65">
        <v>633764.25</v>
      </c>
      <c r="AR252" s="3">
        <f>+(K252*10.5+L252*21)*12*0.85</f>
        <v>137548.53</v>
      </c>
      <c r="AS252" s="3">
        <f>+(K252*10.5+L252*21)*12*30</f>
        <v>4854654</v>
      </c>
      <c r="AT252" s="6">
        <f t="shared" si="73"/>
        <v>7167309.8410193007</v>
      </c>
      <c r="AU252" s="6" t="e">
        <v>#REF!</v>
      </c>
      <c r="AV252" s="6" t="e">
        <v>#REF!</v>
      </c>
      <c r="AW252" s="110">
        <f t="shared" si="74"/>
        <v>41280460.663762346</v>
      </c>
      <c r="AX252" s="55">
        <v>0</v>
      </c>
      <c r="AY252" s="55">
        <v>0</v>
      </c>
      <c r="AZ252" s="55">
        <v>0</v>
      </c>
      <c r="BA252" s="55">
        <v>1287686.27947242</v>
      </c>
      <c r="BB252" s="55">
        <v>0</v>
      </c>
      <c r="BC252" s="55"/>
      <c r="BD252" s="55">
        <v>0</v>
      </c>
      <c r="BE252" s="55"/>
      <c r="BF252" s="55">
        <v>14859752.822115</v>
      </c>
      <c r="BG252" s="55">
        <v>0</v>
      </c>
      <c r="BH252" s="55">
        <v>12356333.5081925</v>
      </c>
      <c r="BI252" s="55">
        <v>11615526.3232418</v>
      </c>
      <c r="BJ252" s="55">
        <v>215153.97</v>
      </c>
      <c r="BK252" s="55">
        <f>65657.7097212739</f>
        <v>65657.709721273903</v>
      </c>
      <c r="BL252" s="111">
        <v>880350.05101934902</v>
      </c>
      <c r="BM252" s="110">
        <f t="shared" si="75"/>
        <v>28603068.74164734</v>
      </c>
      <c r="BN252" s="55">
        <v>0</v>
      </c>
      <c r="BO252" s="55">
        <v>0</v>
      </c>
      <c r="BP252" s="55">
        <v>0</v>
      </c>
      <c r="BQ252" s="55">
        <v>1287686.27947242</v>
      </c>
      <c r="BR252" s="55">
        <v>0</v>
      </c>
      <c r="BS252" s="55"/>
      <c r="BT252" s="55">
        <v>0</v>
      </c>
      <c r="BU252" s="55"/>
      <c r="BV252" s="55">
        <v>2182360.9</v>
      </c>
      <c r="BW252" s="55">
        <v>0</v>
      </c>
      <c r="BX252" s="55">
        <v>12356333.5081925</v>
      </c>
      <c r="BY252" s="55">
        <v>11615526.3232418</v>
      </c>
      <c r="BZ252" s="55">
        <v>215153.97</v>
      </c>
      <c r="CA252" s="55">
        <f>65657.7097212739</f>
        <v>65657.709721273903</v>
      </c>
      <c r="CB252" s="64">
        <v>880350.05101934902</v>
      </c>
      <c r="CD252" s="6"/>
    </row>
    <row r="253" spans="1:82" x14ac:dyDescent="0.25">
      <c r="A253" s="105">
        <f t="shared" si="76"/>
        <v>234</v>
      </c>
      <c r="B253" s="106">
        <f t="shared" si="78"/>
        <v>46</v>
      </c>
      <c r="C253" s="53" t="s">
        <v>108</v>
      </c>
      <c r="D253" s="53" t="s">
        <v>332</v>
      </c>
      <c r="E253" s="54">
        <v>1974</v>
      </c>
      <c r="F253" s="54">
        <v>2013</v>
      </c>
      <c r="G253" s="54" t="s">
        <v>64</v>
      </c>
      <c r="H253" s="54">
        <v>4</v>
      </c>
      <c r="I253" s="54">
        <v>4</v>
      </c>
      <c r="J253" s="55">
        <v>4783.3599999999997</v>
      </c>
      <c r="K253" s="55">
        <v>3510.2</v>
      </c>
      <c r="L253" s="55">
        <v>0</v>
      </c>
      <c r="M253" s="56">
        <v>164</v>
      </c>
      <c r="N253" s="112">
        <f t="shared" si="72"/>
        <v>955035.89642</v>
      </c>
      <c r="O253" s="55"/>
      <c r="P253" s="63"/>
      <c r="Q253" s="63"/>
      <c r="R253" s="63">
        <v>621595.65</v>
      </c>
      <c r="S253" s="63">
        <v>333440.24641999998</v>
      </c>
      <c r="T253" s="55"/>
      <c r="U253" s="55">
        <v>375.76585277761899</v>
      </c>
      <c r="V253" s="55">
        <v>375.76585277761899</v>
      </c>
      <c r="W253" s="109">
        <v>2023</v>
      </c>
      <c r="X253" s="6" t="e">
        <v>#REF!</v>
      </c>
      <c r="Z253" s="62">
        <f t="shared" si="77"/>
        <v>10786909.54642</v>
      </c>
      <c r="AA253" s="55">
        <v>0</v>
      </c>
      <c r="AB253" s="55">
        <v>0</v>
      </c>
      <c r="AC253" s="55">
        <v>0</v>
      </c>
      <c r="AD253" s="55">
        <v>0</v>
      </c>
      <c r="AE253" s="55">
        <v>1314097.3999999999</v>
      </c>
      <c r="AF253" s="55"/>
      <c r="AG253" s="55">
        <v>0</v>
      </c>
      <c r="AH253" s="55">
        <v>0</v>
      </c>
      <c r="AI253" s="55">
        <v>0</v>
      </c>
      <c r="AJ253" s="55">
        <v>0</v>
      </c>
      <c r="AK253" s="55">
        <v>0</v>
      </c>
      <c r="AL253" s="55">
        <v>8060676.2652086997</v>
      </c>
      <c r="AM253" s="55">
        <v>1135899.355</v>
      </c>
      <c r="AN253" s="63">
        <v>95049.965500000006</v>
      </c>
      <c r="AO253" s="64">
        <v>181186.5607113</v>
      </c>
      <c r="AP253" s="61">
        <f>+N253-'Приложение №2'!E253</f>
        <v>0</v>
      </c>
      <c r="AQ253" s="1">
        <f>1511669.96-960081.54</f>
        <v>551588.41999999993</v>
      </c>
      <c r="AR253" s="3">
        <f>+(K253*10+L253*20)*12*0.85</f>
        <v>358040.39999999997</v>
      </c>
      <c r="AS253" s="3">
        <f>+(K253*10+L253*20)*12*30-10097.67</f>
        <v>12626622.33</v>
      </c>
      <c r="AT253" s="6">
        <f t="shared" si="73"/>
        <v>-12293182.08358</v>
      </c>
      <c r="AU253" s="6" t="e">
        <v>#REF!</v>
      </c>
      <c r="AV253" s="6" t="e">
        <v>#REF!</v>
      </c>
      <c r="AW253" s="62">
        <f t="shared" si="74"/>
        <v>1319013.2964199998</v>
      </c>
      <c r="AX253" s="55">
        <v>0</v>
      </c>
      <c r="AY253" s="55">
        <v>0</v>
      </c>
      <c r="AZ253" s="55">
        <v>0</v>
      </c>
      <c r="BA253" s="55">
        <v>0</v>
      </c>
      <c r="BB253" s="55">
        <v>1314097.3999999999</v>
      </c>
      <c r="BC253" s="55"/>
      <c r="BD253" s="55"/>
      <c r="BE253" s="55">
        <v>0</v>
      </c>
      <c r="BF253" s="55">
        <v>0</v>
      </c>
      <c r="BG253" s="55">
        <v>0</v>
      </c>
      <c r="BH253" s="55">
        <v>0</v>
      </c>
      <c r="BI253" s="55"/>
      <c r="BJ253" s="55"/>
      <c r="BK253" s="63"/>
      <c r="BL253" s="111">
        <v>4915.89642</v>
      </c>
      <c r="BM253" s="62">
        <f t="shared" si="75"/>
        <v>955035.89642</v>
      </c>
      <c r="BN253" s="55">
        <v>0</v>
      </c>
      <c r="BO253" s="55">
        <v>0</v>
      </c>
      <c r="BP253" s="55">
        <v>0</v>
      </c>
      <c r="BQ253" s="55">
        <v>0</v>
      </c>
      <c r="BR253" s="55">
        <v>950120</v>
      </c>
      <c r="BS253" s="55"/>
      <c r="BT253" s="55"/>
      <c r="BU253" s="55">
        <v>0</v>
      </c>
      <c r="BV253" s="55">
        <v>0</v>
      </c>
      <c r="BW253" s="55">
        <v>0</v>
      </c>
      <c r="BX253" s="55">
        <v>0</v>
      </c>
      <c r="BY253" s="55"/>
      <c r="BZ253" s="55"/>
      <c r="CA253" s="63"/>
      <c r="CB253" s="64">
        <v>4915.89642</v>
      </c>
      <c r="CD253" s="3"/>
    </row>
    <row r="254" spans="1:82" s="69" customFormat="1" x14ac:dyDescent="0.25">
      <c r="A254" s="105">
        <f t="shared" si="76"/>
        <v>235</v>
      </c>
      <c r="B254" s="106">
        <f t="shared" si="78"/>
        <v>47</v>
      </c>
      <c r="C254" s="107" t="s">
        <v>108</v>
      </c>
      <c r="D254" s="107" t="s">
        <v>333</v>
      </c>
      <c r="E254" s="54" t="s">
        <v>334</v>
      </c>
      <c r="F254" s="54"/>
      <c r="G254" s="54" t="s">
        <v>64</v>
      </c>
      <c r="H254" s="54" t="s">
        <v>184</v>
      </c>
      <c r="I254" s="54" t="s">
        <v>102</v>
      </c>
      <c r="J254" s="55">
        <v>1276.4000000000001</v>
      </c>
      <c r="K254" s="55">
        <v>1181.5</v>
      </c>
      <c r="L254" s="55">
        <v>48.4</v>
      </c>
      <c r="M254" s="56">
        <v>69</v>
      </c>
      <c r="N254" s="108">
        <f t="shared" si="72"/>
        <v>5614975.4989366289</v>
      </c>
      <c r="O254" s="63">
        <v>0</v>
      </c>
      <c r="P254" s="63">
        <v>1659806.6518352199</v>
      </c>
      <c r="Q254" s="63">
        <v>0</v>
      </c>
      <c r="R254" s="63">
        <v>601879.40893662896</v>
      </c>
      <c r="S254" s="63">
        <v>3353289.4381647799</v>
      </c>
      <c r="T254" s="63">
        <v>0</v>
      </c>
      <c r="U254" s="63">
        <v>6192.6631162380199</v>
      </c>
      <c r="V254" s="63">
        <v>1267.2830200640001</v>
      </c>
      <c r="W254" s="109">
        <v>2023</v>
      </c>
      <c r="X254" s="69">
        <v>424539.75</v>
      </c>
      <c r="Y254" s="69">
        <f>+(K254*9.1+L254*18.19)*12</f>
        <v>139584.552</v>
      </c>
      <c r="AA254" s="70" t="e">
        <v>#REF!</v>
      </c>
      <c r="AD254" s="70" t="e">
        <v>#REF!</v>
      </c>
      <c r="AP254" s="61">
        <f>+N254-'Приложение №2'!E254</f>
        <v>0</v>
      </c>
      <c r="AQ254" s="65">
        <v>687944.89</v>
      </c>
      <c r="AR254" s="3">
        <f>+(K254*10.5+L254*21)*12*0.85</f>
        <v>136905.93</v>
      </c>
      <c r="AS254" s="3">
        <f>+(K254*10.5+L254*21)*12*30</f>
        <v>4831974</v>
      </c>
      <c r="AT254" s="6">
        <f t="shared" si="73"/>
        <v>-1478684.5618352201</v>
      </c>
      <c r="AU254" s="6" t="e">
        <v>#REF!</v>
      </c>
      <c r="AV254" s="6" t="e">
        <v>#REF!</v>
      </c>
      <c r="AW254" s="110">
        <f t="shared" si="74"/>
        <v>7316631.4718352193</v>
      </c>
      <c r="AX254" s="55"/>
      <c r="AY254" s="55"/>
      <c r="AZ254" s="55">
        <v>1175152.52746639</v>
      </c>
      <c r="BA254" s="55"/>
      <c r="BB254" s="55"/>
      <c r="BC254" s="55"/>
      <c r="BD254" s="55"/>
      <c r="BE254" s="55">
        <v>0</v>
      </c>
      <c r="BF254" s="55">
        <v>5747272.2854321999</v>
      </c>
      <c r="BG254" s="55">
        <v>0</v>
      </c>
      <c r="BH254" s="55"/>
      <c r="BI254" s="55"/>
      <c r="BJ254" s="55"/>
      <c r="BK254" s="63"/>
      <c r="BL254" s="111">
        <v>394206.65893662901</v>
      </c>
      <c r="BM254" s="110">
        <f t="shared" si="75"/>
        <v>5614975.4989366289</v>
      </c>
      <c r="BN254" s="55"/>
      <c r="BO254" s="55"/>
      <c r="BP254" s="57">
        <v>1355646.84</v>
      </c>
      <c r="BQ254" s="55"/>
      <c r="BR254" s="55"/>
      <c r="BS254" s="55"/>
      <c r="BT254" s="55"/>
      <c r="BU254" s="55">
        <v>0</v>
      </c>
      <c r="BV254" s="55">
        <v>3865122</v>
      </c>
      <c r="BW254" s="55">
        <v>0</v>
      </c>
      <c r="BX254" s="55"/>
      <c r="BY254" s="55"/>
      <c r="BZ254" s="55"/>
      <c r="CA254" s="63"/>
      <c r="CB254" s="64">
        <v>394206.65893662901</v>
      </c>
      <c r="CD254" s="114"/>
    </row>
    <row r="255" spans="1:82" x14ac:dyDescent="0.25">
      <c r="A255" s="105">
        <f t="shared" si="76"/>
        <v>236</v>
      </c>
      <c r="B255" s="106">
        <f t="shared" si="78"/>
        <v>48</v>
      </c>
      <c r="C255" s="107" t="s">
        <v>108</v>
      </c>
      <c r="D255" s="107" t="s">
        <v>335</v>
      </c>
      <c r="E255" s="54">
        <v>1973</v>
      </c>
      <c r="F255" s="54">
        <v>2013</v>
      </c>
      <c r="G255" s="54" t="s">
        <v>64</v>
      </c>
      <c r="H255" s="54">
        <v>5</v>
      </c>
      <c r="I255" s="54">
        <v>6</v>
      </c>
      <c r="J255" s="55">
        <v>5136.8500000000004</v>
      </c>
      <c r="K255" s="55">
        <v>4692.05</v>
      </c>
      <c r="L255" s="55">
        <v>0</v>
      </c>
      <c r="M255" s="56">
        <v>215</v>
      </c>
      <c r="N255" s="108">
        <f t="shared" si="72"/>
        <v>16406836.754956001</v>
      </c>
      <c r="O255" s="63"/>
      <c r="P255" s="63">
        <v>3282328.97</v>
      </c>
      <c r="Q255" s="63"/>
      <c r="R255" s="63">
        <v>2763756.33</v>
      </c>
      <c r="S255" s="63">
        <v>10360751.454956001</v>
      </c>
      <c r="T255" s="63"/>
      <c r="U255" s="55">
        <v>3589.6157809392498</v>
      </c>
      <c r="V255" s="55">
        <v>3589.6157809392498</v>
      </c>
      <c r="W255" s="109">
        <v>2023</v>
      </c>
      <c r="X255" s="6" t="e">
        <v>#REF!</v>
      </c>
      <c r="Z255" s="62">
        <f>SUM(AA255:AO255)</f>
        <v>27853394.144956019</v>
      </c>
      <c r="AA255" s="55">
        <v>0</v>
      </c>
      <c r="AB255" s="55">
        <v>0</v>
      </c>
      <c r="AC255" s="55">
        <v>0</v>
      </c>
      <c r="AD255" s="55">
        <v>0</v>
      </c>
      <c r="AE255" s="55">
        <v>1990543.04</v>
      </c>
      <c r="AF255" s="55"/>
      <c r="AG255" s="55">
        <v>0</v>
      </c>
      <c r="AH255" s="55">
        <v>0</v>
      </c>
      <c r="AI255" s="55">
        <v>0</v>
      </c>
      <c r="AJ255" s="55">
        <v>0</v>
      </c>
      <c r="AK255" s="55">
        <v>10718809.191245399</v>
      </c>
      <c r="AL255" s="55">
        <v>11561490.387011901</v>
      </c>
      <c r="AM255" s="55">
        <v>2826217.2919999999</v>
      </c>
      <c r="AN255" s="63">
        <v>260814.88320000001</v>
      </c>
      <c r="AO255" s="64">
        <v>495519.35149872</v>
      </c>
      <c r="AP255" s="61">
        <f>+N255-'Приложение №2'!E255</f>
        <v>0</v>
      </c>
      <c r="AQ255" s="1">
        <v>2285167.23</v>
      </c>
      <c r="AR255" s="3">
        <f>+(K255*10+L255*20)*12*0.85</f>
        <v>478589.1</v>
      </c>
      <c r="AS255" s="3">
        <f>+(K255*10+L255*20)*12*30</f>
        <v>16891380</v>
      </c>
      <c r="AT255" s="6">
        <f t="shared" si="73"/>
        <v>-6530628.5450439993</v>
      </c>
      <c r="AU255" s="6" t="e">
        <v>#REF!</v>
      </c>
      <c r="AV255" s="6" t="e">
        <v>#REF!</v>
      </c>
      <c r="AW255" s="62">
        <f t="shared" si="74"/>
        <v>13560327.7519679</v>
      </c>
      <c r="AX255" s="55">
        <v>0</v>
      </c>
      <c r="AY255" s="55">
        <v>0</v>
      </c>
      <c r="AZ255" s="55">
        <v>0</v>
      </c>
      <c r="BA255" s="55">
        <v>0</v>
      </c>
      <c r="BB255" s="55">
        <v>1990543.04</v>
      </c>
      <c r="BC255" s="55"/>
      <c r="BD255" s="55"/>
      <c r="BE255" s="55">
        <v>0</v>
      </c>
      <c r="BF255" s="55">
        <v>0</v>
      </c>
      <c r="BG255" s="55">
        <v>0</v>
      </c>
      <c r="BH255" s="55"/>
      <c r="BI255" s="55">
        <v>11561490.387011901</v>
      </c>
      <c r="BJ255" s="55"/>
      <c r="BK255" s="63"/>
      <c r="BL255" s="111">
        <v>8294.3249560000004</v>
      </c>
      <c r="BM255" s="62">
        <f t="shared" si="75"/>
        <v>16406836.754956</v>
      </c>
      <c r="BN255" s="55">
        <v>0</v>
      </c>
      <c r="BO255" s="55">
        <v>0</v>
      </c>
      <c r="BP255" s="55">
        <v>0</v>
      </c>
      <c r="BQ255" s="55">
        <v>0</v>
      </c>
      <c r="BR255" s="55">
        <v>1554723.07</v>
      </c>
      <c r="BS255" s="55"/>
      <c r="BT255" s="55"/>
      <c r="BU255" s="55">
        <v>0</v>
      </c>
      <c r="BV255" s="55">
        <v>0</v>
      </c>
      <c r="BW255" s="55">
        <v>0</v>
      </c>
      <c r="BX255" s="55"/>
      <c r="BY255" s="55">
        <v>14843819.359999999</v>
      </c>
      <c r="BZ255" s="55"/>
      <c r="CA255" s="63"/>
      <c r="CB255" s="64">
        <v>8294.3249560000004</v>
      </c>
    </row>
    <row r="256" spans="1:82" x14ac:dyDescent="0.25">
      <c r="A256" s="105">
        <f t="shared" si="76"/>
        <v>237</v>
      </c>
      <c r="B256" s="106">
        <f t="shared" si="78"/>
        <v>49</v>
      </c>
      <c r="C256" s="107" t="s">
        <v>108</v>
      </c>
      <c r="D256" s="107" t="s">
        <v>336</v>
      </c>
      <c r="E256" s="54">
        <v>1986</v>
      </c>
      <c r="F256" s="54">
        <v>2005</v>
      </c>
      <c r="G256" s="54" t="s">
        <v>64</v>
      </c>
      <c r="H256" s="54">
        <v>5</v>
      </c>
      <c r="I256" s="54">
        <v>3</v>
      </c>
      <c r="J256" s="55">
        <v>5898.64</v>
      </c>
      <c r="K256" s="55">
        <v>4269.5</v>
      </c>
      <c r="L256" s="55">
        <v>369.2</v>
      </c>
      <c r="M256" s="56">
        <v>316</v>
      </c>
      <c r="N256" s="108">
        <f t="shared" si="72"/>
        <v>26569823.881333299</v>
      </c>
      <c r="O256" s="63"/>
      <c r="P256" s="119">
        <f>1594920.28+1393581.33</f>
        <v>2988501.6100000003</v>
      </c>
      <c r="Q256" s="63"/>
      <c r="R256" s="63">
        <v>3391889.52</v>
      </c>
      <c r="S256" s="63">
        <v>20189432.7513333</v>
      </c>
      <c r="T256" s="63"/>
      <c r="U256" s="63">
        <v>11289.526951178401</v>
      </c>
      <c r="V256" s="63">
        <v>1270.2830200640001</v>
      </c>
      <c r="W256" s="109">
        <v>2023</v>
      </c>
      <c r="X256" s="6" t="e">
        <v>#REF!</v>
      </c>
      <c r="Z256" s="62">
        <f>SUM(AA256:AO256)</f>
        <v>52616181.969999999</v>
      </c>
      <c r="AA256" s="55">
        <v>12089576.8229145</v>
      </c>
      <c r="AB256" s="55">
        <v>4308013.2351488397</v>
      </c>
      <c r="AC256" s="55">
        <v>4500915.2712127799</v>
      </c>
      <c r="AD256" s="55">
        <v>2817857.5473652799</v>
      </c>
      <c r="AE256" s="55">
        <v>0</v>
      </c>
      <c r="AF256" s="55"/>
      <c r="AG256" s="55">
        <v>463910.16369684</v>
      </c>
      <c r="AH256" s="55">
        <v>0</v>
      </c>
      <c r="AI256" s="55">
        <v>22101585.9113952</v>
      </c>
      <c r="AJ256" s="55">
        <v>0</v>
      </c>
      <c r="AK256" s="55">
        <v>0</v>
      </c>
      <c r="AL256" s="55">
        <v>0</v>
      </c>
      <c r="AM256" s="55">
        <v>4796070.6798999999</v>
      </c>
      <c r="AN256" s="63">
        <v>526161.81969999999</v>
      </c>
      <c r="AO256" s="64">
        <v>1012090.5186665599</v>
      </c>
      <c r="AP256" s="61">
        <f>+N256-'Приложение №2'!E256</f>
        <v>-2.9802322387695313E-8</v>
      </c>
      <c r="AQ256" s="65">
        <v>2851840.42</v>
      </c>
      <c r="AR256" s="3">
        <f>+(K256*10.5+L256*21)*12*0.85</f>
        <v>536346.08999999985</v>
      </c>
      <c r="AS256" s="3">
        <f>+(K256*10.5+L256*21)*12*30</f>
        <v>18929861.999999996</v>
      </c>
      <c r="AT256" s="6">
        <f t="shared" si="73"/>
        <v>1259570.7513333037</v>
      </c>
      <c r="AU256" s="6" t="e">
        <v>#REF!</v>
      </c>
      <c r="AV256" s="6" t="e">
        <v>#REF!</v>
      </c>
      <c r="AW256" s="110">
        <f t="shared" si="74"/>
        <v>48200635.318056218</v>
      </c>
      <c r="AX256" s="55">
        <v>12121082.4144789</v>
      </c>
      <c r="AY256" s="55">
        <v>4380765.67557377</v>
      </c>
      <c r="AZ256" s="55">
        <v>4601142.9003424896</v>
      </c>
      <c r="BA256" s="55">
        <v>2961095.0258614798</v>
      </c>
      <c r="BB256" s="55">
        <v>0</v>
      </c>
      <c r="BC256" s="55"/>
      <c r="BD256" s="55">
        <v>424957.37324978702</v>
      </c>
      <c r="BE256" s="55"/>
      <c r="BF256" s="55">
        <v>22433958.7355773</v>
      </c>
      <c r="BG256" s="55">
        <v>0</v>
      </c>
      <c r="BH256" s="55">
        <v>0</v>
      </c>
      <c r="BI256" s="55">
        <v>0</v>
      </c>
      <c r="BJ256" s="55">
        <v>223091.04581957799</v>
      </c>
      <c r="BK256" s="63">
        <v>28431.125819577599</v>
      </c>
      <c r="BL256" s="111">
        <v>1026111.02133333</v>
      </c>
      <c r="BM256" s="110">
        <f t="shared" si="75"/>
        <v>34828979.912478916</v>
      </c>
      <c r="BN256" s="55">
        <v>12121082.4144789</v>
      </c>
      <c r="BO256" s="55">
        <v>4380765.67557377</v>
      </c>
      <c r="BP256" s="55">
        <v>4601142.9003424896</v>
      </c>
      <c r="BQ256" s="55">
        <v>2961095.0258614798</v>
      </c>
      <c r="BR256" s="55">
        <v>0</v>
      </c>
      <c r="BS256" s="55"/>
      <c r="BT256" s="55">
        <v>424957.37324978702</v>
      </c>
      <c r="BU256" s="55"/>
      <c r="BV256" s="55">
        <v>9062303.3300000001</v>
      </c>
      <c r="BW256" s="55">
        <v>0</v>
      </c>
      <c r="BX256" s="55">
        <v>0</v>
      </c>
      <c r="BY256" s="55">
        <v>0</v>
      </c>
      <c r="BZ256" s="55">
        <v>223091.04581957799</v>
      </c>
      <c r="CA256" s="63">
        <v>28431.125819577599</v>
      </c>
      <c r="CB256" s="64">
        <v>1026111.02133333</v>
      </c>
      <c r="CD256" s="6"/>
    </row>
    <row r="257" spans="1:84" s="69" customFormat="1" x14ac:dyDescent="0.25">
      <c r="A257" s="105">
        <f t="shared" si="76"/>
        <v>238</v>
      </c>
      <c r="B257" s="106">
        <f t="shared" si="78"/>
        <v>50</v>
      </c>
      <c r="C257" s="107" t="s">
        <v>108</v>
      </c>
      <c r="D257" s="107" t="s">
        <v>337</v>
      </c>
      <c r="E257" s="54" t="s">
        <v>338</v>
      </c>
      <c r="F257" s="54"/>
      <c r="G257" s="54" t="s">
        <v>64</v>
      </c>
      <c r="H257" s="54" t="s">
        <v>184</v>
      </c>
      <c r="I257" s="54" t="s">
        <v>184</v>
      </c>
      <c r="J257" s="55">
        <v>3893.1</v>
      </c>
      <c r="K257" s="55">
        <v>3553.5</v>
      </c>
      <c r="L257" s="55">
        <v>0</v>
      </c>
      <c r="M257" s="56">
        <v>150</v>
      </c>
      <c r="N257" s="108">
        <f t="shared" si="72"/>
        <v>9281711.4246337004</v>
      </c>
      <c r="O257" s="63">
        <v>0</v>
      </c>
      <c r="P257" s="63">
        <v>5126386.37</v>
      </c>
      <c r="Q257" s="63">
        <v>0</v>
      </c>
      <c r="R257" s="63">
        <v>222417.47</v>
      </c>
      <c r="S257" s="63">
        <v>3932907.5846337001</v>
      </c>
      <c r="T257" s="63"/>
      <c r="U257" s="63">
        <v>17913.0210460528</v>
      </c>
      <c r="V257" s="63">
        <v>1273.2830200640001</v>
      </c>
      <c r="W257" s="109">
        <v>2023</v>
      </c>
      <c r="X257" s="69">
        <v>609180.44999999995</v>
      </c>
      <c r="Y257" s="69">
        <f>+(K257*9.1+L257*18.19)*12</f>
        <v>388042.19999999995</v>
      </c>
      <c r="AA257" s="70" t="e">
        <v>#REF!</v>
      </c>
      <c r="AD257" s="70" t="e">
        <v>#REF!</v>
      </c>
      <c r="AP257" s="61">
        <f>+N257-'Приложение №2'!E257</f>
        <v>0</v>
      </c>
      <c r="AQ257" s="65">
        <v>1198086.6299999999</v>
      </c>
      <c r="AR257" s="3">
        <f>+(K257*10.5+L257*21)*12*0.85</f>
        <v>380579.85</v>
      </c>
      <c r="AS257" s="3">
        <f>+(K257*10.5+L257*21)*12*30</f>
        <v>13432230</v>
      </c>
      <c r="AT257" s="6">
        <f t="shared" si="73"/>
        <v>-9499322.4153662995</v>
      </c>
      <c r="AU257" s="6" t="e">
        <v>#REF!</v>
      </c>
      <c r="AV257" s="6" t="e">
        <v>#REF!</v>
      </c>
      <c r="AW257" s="110">
        <f t="shared" si="74"/>
        <v>63653920.287148632</v>
      </c>
      <c r="AX257" s="55">
        <v>6426692.6863325499</v>
      </c>
      <c r="AY257" s="55">
        <v>3800269.7376763402</v>
      </c>
      <c r="AZ257" s="55">
        <v>4017145.7248026598</v>
      </c>
      <c r="BA257" s="55">
        <v>3169959.57002912</v>
      </c>
      <c r="BB257" s="55"/>
      <c r="BC257" s="55"/>
      <c r="BD257" s="55">
        <v>296539.21750751999</v>
      </c>
      <c r="BE257" s="55"/>
      <c r="BF257" s="55">
        <v>11567597.7275539</v>
      </c>
      <c r="BG257" s="55"/>
      <c r="BH257" s="55">
        <v>22710934.820188001</v>
      </c>
      <c r="BI257" s="55">
        <v>8931908.6262432002</v>
      </c>
      <c r="BJ257" s="55">
        <v>1439566.81218164</v>
      </c>
      <c r="BK257" s="63"/>
      <c r="BL257" s="111">
        <v>1293305.3646337001</v>
      </c>
      <c r="BM257" s="110">
        <f t="shared" si="75"/>
        <v>10457498.86681534</v>
      </c>
      <c r="BN257" s="55"/>
      <c r="BO257" s="55"/>
      <c r="BP257" s="55"/>
      <c r="BQ257" s="55"/>
      <c r="BR257" s="55"/>
      <c r="BS257" s="55"/>
      <c r="BT257" s="55"/>
      <c r="BU257" s="55"/>
      <c r="BV257" s="55">
        <v>7724626.6900000004</v>
      </c>
      <c r="BW257" s="55"/>
      <c r="BX257" s="55"/>
      <c r="BY257" s="55"/>
      <c r="BZ257" s="55">
        <v>1439566.81218164</v>
      </c>
      <c r="CA257" s="63"/>
      <c r="CB257" s="64">
        <v>1293305.3646337001</v>
      </c>
      <c r="CD257" s="70"/>
    </row>
    <row r="258" spans="1:84" s="69" customFormat="1" x14ac:dyDescent="0.25">
      <c r="A258" s="105">
        <f t="shared" si="76"/>
        <v>239</v>
      </c>
      <c r="B258" s="106">
        <f t="shared" si="78"/>
        <v>51</v>
      </c>
      <c r="C258" s="107" t="s">
        <v>108</v>
      </c>
      <c r="D258" s="107" t="s">
        <v>339</v>
      </c>
      <c r="E258" s="54" t="s">
        <v>340</v>
      </c>
      <c r="F258" s="54"/>
      <c r="G258" s="54" t="s">
        <v>64</v>
      </c>
      <c r="H258" s="54" t="s">
        <v>101</v>
      </c>
      <c r="I258" s="54" t="s">
        <v>184</v>
      </c>
      <c r="J258" s="55">
        <v>4021.68</v>
      </c>
      <c r="K258" s="55">
        <v>3212.2</v>
      </c>
      <c r="L258" s="55">
        <v>201.5</v>
      </c>
      <c r="M258" s="56">
        <v>152</v>
      </c>
      <c r="N258" s="108">
        <f t="shared" si="72"/>
        <v>11455857.354636746</v>
      </c>
      <c r="O258" s="111">
        <v>0</v>
      </c>
      <c r="P258" s="75">
        <v>149071.00053612501</v>
      </c>
      <c r="Q258" s="131">
        <v>0</v>
      </c>
      <c r="R258" s="63">
        <v>2328970.2974677999</v>
      </c>
      <c r="S258" s="63">
        <v>8977816.0566328205</v>
      </c>
      <c r="T258" s="63"/>
      <c r="U258" s="63">
        <v>10424.741622818499</v>
      </c>
      <c r="V258" s="63">
        <v>1274.2830200640001</v>
      </c>
      <c r="W258" s="109">
        <v>2023</v>
      </c>
      <c r="X258" s="69">
        <v>1358102.97</v>
      </c>
      <c r="Y258" s="69">
        <f>+(K258*9.1+L258*18.19)*12</f>
        <v>394755.66000000003</v>
      </c>
      <c r="AA258" s="70" t="e">
        <v>#REF!</v>
      </c>
      <c r="AD258" s="70" t="e">
        <v>#REF!</v>
      </c>
      <c r="AP258" s="61">
        <f>+N258-'Приложение №2'!E258</f>
        <v>0</v>
      </c>
      <c r="AQ258" s="65">
        <v>2065064.66</v>
      </c>
      <c r="AR258" s="3">
        <f>+(K258*10.5+L258*21)*12*0.85</f>
        <v>387187.91999999993</v>
      </c>
      <c r="AS258" s="3">
        <f>+(K258*10.5+L258*21)*12*30</f>
        <v>13665455.999999998</v>
      </c>
      <c r="AT258" s="6">
        <f t="shared" si="73"/>
        <v>-4687639.9433671776</v>
      </c>
      <c r="AU258" s="6" t="e">
        <v>#REF!</v>
      </c>
      <c r="AV258" s="6" t="e">
        <v>#REF!</v>
      </c>
      <c r="AW258" s="110">
        <f t="shared" si="74"/>
        <v>33486355.040817678</v>
      </c>
      <c r="AX258" s="55">
        <v>8643306.5260717906</v>
      </c>
      <c r="AY258" s="55">
        <v>3051788.9179595602</v>
      </c>
      <c r="AZ258" s="55">
        <v>3312688.9008027702</v>
      </c>
      <c r="BA258" s="55"/>
      <c r="BB258" s="55"/>
      <c r="BC258" s="55"/>
      <c r="BD258" s="55">
        <v>312733.52125871403</v>
      </c>
      <c r="BE258" s="55">
        <v>0</v>
      </c>
      <c r="BF258" s="55">
        <v>16148584.3526203</v>
      </c>
      <c r="BG258" s="55">
        <v>0</v>
      </c>
      <c r="BH258" s="55">
        <v>0</v>
      </c>
      <c r="BI258" s="55">
        <v>0</v>
      </c>
      <c r="BJ258" s="55">
        <v>1231638.8674677999</v>
      </c>
      <c r="BK258" s="63">
        <v>24000</v>
      </c>
      <c r="BL258" s="111">
        <v>761613.95463674504</v>
      </c>
      <c r="BM258" s="110">
        <f t="shared" si="75"/>
        <v>31887528.940014906</v>
      </c>
      <c r="BN258" s="55">
        <v>8643306.5260717906</v>
      </c>
      <c r="BO258" s="55">
        <v>3051788.9179595602</v>
      </c>
      <c r="BP258" s="118">
        <v>1713862.8</v>
      </c>
      <c r="BQ258" s="55"/>
      <c r="BR258" s="55"/>
      <c r="BS258" s="55"/>
      <c r="BT258" s="55">
        <v>312733.52125871403</v>
      </c>
      <c r="BU258" s="55">
        <v>0</v>
      </c>
      <c r="BV258" s="55">
        <v>16148584.3526203</v>
      </c>
      <c r="BW258" s="55">
        <v>0</v>
      </c>
      <c r="BX258" s="55">
        <v>0</v>
      </c>
      <c r="BY258" s="55">
        <v>0</v>
      </c>
      <c r="BZ258" s="55">
        <v>1231638.8674677999</v>
      </c>
      <c r="CA258" s="63">
        <v>24000</v>
      </c>
      <c r="CB258" s="64">
        <v>761613.95463674504</v>
      </c>
      <c r="CD258" s="114"/>
    </row>
    <row r="259" spans="1:84" x14ac:dyDescent="0.25">
      <c r="A259" s="105">
        <f t="shared" si="76"/>
        <v>240</v>
      </c>
      <c r="B259" s="106">
        <f t="shared" si="78"/>
        <v>52</v>
      </c>
      <c r="C259" s="107" t="s">
        <v>108</v>
      </c>
      <c r="D259" s="107" t="s">
        <v>341</v>
      </c>
      <c r="E259" s="54">
        <v>1974</v>
      </c>
      <c r="F259" s="54">
        <v>2012</v>
      </c>
      <c r="G259" s="54" t="s">
        <v>64</v>
      </c>
      <c r="H259" s="54">
        <v>4</v>
      </c>
      <c r="I259" s="54">
        <v>4</v>
      </c>
      <c r="J259" s="55">
        <v>3917</v>
      </c>
      <c r="K259" s="55">
        <v>3431.9</v>
      </c>
      <c r="L259" s="55">
        <v>0</v>
      </c>
      <c r="M259" s="56">
        <v>163</v>
      </c>
      <c r="N259" s="108">
        <f t="shared" si="72"/>
        <v>21080666.461165823</v>
      </c>
      <c r="O259" s="63"/>
      <c r="P259" s="123">
        <f>12823381.3-1578018.06</f>
        <v>11245363.24</v>
      </c>
      <c r="Q259" s="63"/>
      <c r="R259" s="63">
        <v>2888397.14</v>
      </c>
      <c r="S259" s="63">
        <v>6946906.0811658204</v>
      </c>
      <c r="T259" s="63"/>
      <c r="U259" s="55">
        <v>8137.32749745005</v>
      </c>
      <c r="V259" s="55">
        <v>8137.32749745005</v>
      </c>
      <c r="W259" s="109">
        <v>2023</v>
      </c>
      <c r="X259" s="6" t="e">
        <v>#REF!</v>
      </c>
      <c r="Z259" s="62">
        <f t="shared" ref="Z259:Z271" si="79">SUM(AA259:AO259)</f>
        <v>9641868.1699999999</v>
      </c>
      <c r="AA259" s="55">
        <v>0</v>
      </c>
      <c r="AB259" s="55">
        <v>0</v>
      </c>
      <c r="AC259" s="55">
        <v>0</v>
      </c>
      <c r="AD259" s="55">
        <v>0</v>
      </c>
      <c r="AE259" s="55">
        <v>0</v>
      </c>
      <c r="AF259" s="55"/>
      <c r="AG259" s="55">
        <v>0</v>
      </c>
      <c r="AH259" s="55">
        <v>0</v>
      </c>
      <c r="AI259" s="55">
        <v>0</v>
      </c>
      <c r="AJ259" s="55">
        <v>0</v>
      </c>
      <c r="AK259" s="55">
        <v>0</v>
      </c>
      <c r="AL259" s="55">
        <v>8397623.6501341797</v>
      </c>
      <c r="AM259" s="55">
        <v>964186.81700000004</v>
      </c>
      <c r="AN259" s="63">
        <v>96418.681700000001</v>
      </c>
      <c r="AO259" s="64">
        <v>183639.02116582001</v>
      </c>
      <c r="AP259" s="61">
        <f>+N259-'Приложение №2'!E259</f>
        <v>0</v>
      </c>
      <c r="AQ259" s="69">
        <v>1639882.92</v>
      </c>
      <c r="AR259" s="3">
        <f>+(K259*10+L259*20)*12*0.85</f>
        <v>350053.8</v>
      </c>
      <c r="AS259" s="3">
        <f>+(K259*10+L259*20)*12*30</f>
        <v>12354840</v>
      </c>
      <c r="AT259" s="6">
        <f t="shared" si="73"/>
        <v>-5407933.9188341796</v>
      </c>
      <c r="AU259" s="6" t="e">
        <v>#REF!</v>
      </c>
      <c r="AV259" s="6" t="e">
        <v>#REF!</v>
      </c>
      <c r="AW259" s="62">
        <f t="shared" si="74"/>
        <v>27926494.23849884</v>
      </c>
      <c r="AX259" s="55">
        <v>8202360.1409184802</v>
      </c>
      <c r="AY259" s="55">
        <v>3191095.72</v>
      </c>
      <c r="AZ259" s="55">
        <v>3053714.1501469198</v>
      </c>
      <c r="BA259" s="55">
        <v>2949494.6598</v>
      </c>
      <c r="BB259" s="55"/>
      <c r="BC259" s="55"/>
      <c r="BD259" s="55">
        <v>314730.64776761603</v>
      </c>
      <c r="BE259" s="55">
        <v>0</v>
      </c>
      <c r="BF259" s="55">
        <v>0</v>
      </c>
      <c r="BG259" s="55">
        <v>0</v>
      </c>
      <c r="BH259" s="55">
        <v>0</v>
      </c>
      <c r="BI259" s="55">
        <v>8970854.4000000004</v>
      </c>
      <c r="BJ259" s="55">
        <v>964186.81700000004</v>
      </c>
      <c r="BK259" s="63">
        <v>96418.681700000001</v>
      </c>
      <c r="BL259" s="111">
        <v>183639.02116582001</v>
      </c>
      <c r="BM259" s="62">
        <f t="shared" si="75"/>
        <v>22973034.177433442</v>
      </c>
      <c r="BN259" s="118">
        <v>4390563.8399999999</v>
      </c>
      <c r="BO259" s="55">
        <v>3191095.72</v>
      </c>
      <c r="BP259" s="118">
        <v>1727150.4</v>
      </c>
      <c r="BQ259" s="55">
        <v>2949494.6598</v>
      </c>
      <c r="BR259" s="55"/>
      <c r="BS259" s="55"/>
      <c r="BT259" s="55">
        <v>314730.64776761603</v>
      </c>
      <c r="BU259" s="55">
        <v>0</v>
      </c>
      <c r="BV259" s="55">
        <v>0</v>
      </c>
      <c r="BW259" s="55">
        <v>0</v>
      </c>
      <c r="BX259" s="55">
        <v>0</v>
      </c>
      <c r="BY259" s="118">
        <v>9155754.3900000006</v>
      </c>
      <c r="BZ259" s="55">
        <v>964186.81700000004</v>
      </c>
      <c r="CA259" s="63">
        <v>96418.681700000001</v>
      </c>
      <c r="CB259" s="64">
        <v>183639.02116582001</v>
      </c>
      <c r="CD259" s="6"/>
    </row>
    <row r="260" spans="1:84" x14ac:dyDescent="0.25">
      <c r="A260" s="105">
        <f t="shared" si="76"/>
        <v>241</v>
      </c>
      <c r="B260" s="106">
        <f t="shared" si="78"/>
        <v>53</v>
      </c>
      <c r="C260" s="107" t="s">
        <v>108</v>
      </c>
      <c r="D260" s="107" t="s">
        <v>135</v>
      </c>
      <c r="E260" s="54">
        <v>1977</v>
      </c>
      <c r="F260" s="54">
        <v>1977</v>
      </c>
      <c r="G260" s="54" t="s">
        <v>64</v>
      </c>
      <c r="H260" s="54">
        <v>4</v>
      </c>
      <c r="I260" s="54">
        <v>6</v>
      </c>
      <c r="J260" s="55">
        <v>5672.9</v>
      </c>
      <c r="K260" s="55">
        <v>4964.7</v>
      </c>
      <c r="L260" s="55">
        <v>0</v>
      </c>
      <c r="M260" s="56">
        <v>207</v>
      </c>
      <c r="N260" s="108">
        <f t="shared" si="72"/>
        <v>16017535.850428801</v>
      </c>
      <c r="O260" s="63"/>
      <c r="P260" s="63">
        <v>4124901.9</v>
      </c>
      <c r="Q260" s="63"/>
      <c r="R260" s="63">
        <v>956163.06</v>
      </c>
      <c r="S260" s="63">
        <v>7066347.9404287999</v>
      </c>
      <c r="T260" s="63">
        <v>3870122.95</v>
      </c>
      <c r="U260" s="63">
        <v>2446.7566822625299</v>
      </c>
      <c r="V260" s="63">
        <v>2446.7566822625299</v>
      </c>
      <c r="W260" s="109">
        <v>2023</v>
      </c>
      <c r="X260" s="6" t="e">
        <v>#REF!</v>
      </c>
      <c r="Z260" s="62">
        <f t="shared" si="79"/>
        <v>40803772.099999994</v>
      </c>
      <c r="AA260" s="55">
        <v>8274934.6457723398</v>
      </c>
      <c r="AB260" s="55">
        <v>4785620.9278290002</v>
      </c>
      <c r="AC260" s="55">
        <v>5058755.6557213198</v>
      </c>
      <c r="AD260" s="55">
        <v>3857344.19215992</v>
      </c>
      <c r="AE260" s="55">
        <v>1540930.0457111399</v>
      </c>
      <c r="AF260" s="55"/>
      <c r="AG260" s="55">
        <v>411179.32298519998</v>
      </c>
      <c r="AH260" s="55">
        <v>0</v>
      </c>
      <c r="AI260" s="55">
        <v>0</v>
      </c>
      <c r="AJ260" s="55">
        <v>0</v>
      </c>
      <c r="AK260" s="55">
        <v>0</v>
      </c>
      <c r="AL260" s="55">
        <v>11247866.888920199</v>
      </c>
      <c r="AM260" s="55">
        <v>4449861.0098000001</v>
      </c>
      <c r="AN260" s="63">
        <v>408037.72100000002</v>
      </c>
      <c r="AO260" s="64">
        <v>769241.69010087999</v>
      </c>
      <c r="AP260" s="132" t="s">
        <v>342</v>
      </c>
      <c r="AQ260" s="6">
        <f>2390424.58-114155.72-R78</f>
        <v>638041.85999999987</v>
      </c>
      <c r="AR260" s="3">
        <f>+(K260*10+L260*20)*12*0.85</f>
        <v>506399.39999999997</v>
      </c>
      <c r="AS260" s="3">
        <f>+(K260*10+L260*20)*12*30-S78</f>
        <v>6254675.2815712001</v>
      </c>
      <c r="AT260" s="6">
        <f t="shared" si="73"/>
        <v>811672.65885759983</v>
      </c>
      <c r="AW260" s="62">
        <f t="shared" si="74"/>
        <v>12147412.900428798</v>
      </c>
      <c r="AX260" s="55"/>
      <c r="AY260" s="55">
        <v>5603246.21</v>
      </c>
      <c r="AZ260" s="55">
        <v>2551720.8199999998</v>
      </c>
      <c r="BA260" s="55">
        <v>3180773.21</v>
      </c>
      <c r="BB260" s="55"/>
      <c r="BC260" s="55"/>
      <c r="BD260" s="55"/>
      <c r="BE260" s="55">
        <v>0</v>
      </c>
      <c r="BF260" s="55">
        <v>0</v>
      </c>
      <c r="BG260" s="55">
        <v>0</v>
      </c>
      <c r="BH260" s="55">
        <v>0</v>
      </c>
      <c r="BI260" s="55"/>
      <c r="BJ260" s="55"/>
      <c r="BK260" s="63"/>
      <c r="BL260" s="111">
        <v>811672.66042880004</v>
      </c>
      <c r="BM260" s="62">
        <f t="shared" si="75"/>
        <v>16017535.850428797</v>
      </c>
      <c r="BN260" s="55"/>
      <c r="BO260" s="55">
        <v>5603246.21</v>
      </c>
      <c r="BP260" s="55">
        <v>2551720.8199999998</v>
      </c>
      <c r="BQ260" s="55">
        <v>3180773.21</v>
      </c>
      <c r="BR260" s="55"/>
      <c r="BS260" s="55"/>
      <c r="BT260" s="55"/>
      <c r="BU260" s="55">
        <v>0</v>
      </c>
      <c r="BV260" s="55">
        <v>0</v>
      </c>
      <c r="BW260" s="55">
        <v>0</v>
      </c>
      <c r="BX260" s="55">
        <v>0</v>
      </c>
      <c r="BY260" s="55">
        <v>3870122.95</v>
      </c>
      <c r="BZ260" s="55"/>
      <c r="CA260" s="63"/>
      <c r="CB260" s="64">
        <v>811672.66042880004</v>
      </c>
      <c r="CD260" s="6"/>
    </row>
    <row r="261" spans="1:84" x14ac:dyDescent="0.25">
      <c r="A261" s="105">
        <f t="shared" si="76"/>
        <v>242</v>
      </c>
      <c r="B261" s="106">
        <f t="shared" si="78"/>
        <v>54</v>
      </c>
      <c r="C261" s="53" t="s">
        <v>108</v>
      </c>
      <c r="D261" s="53" t="s">
        <v>343</v>
      </c>
      <c r="E261" s="54">
        <v>1977</v>
      </c>
      <c r="F261" s="54">
        <v>2013</v>
      </c>
      <c r="G261" s="54" t="s">
        <v>64</v>
      </c>
      <c r="H261" s="54">
        <v>4</v>
      </c>
      <c r="I261" s="54">
        <v>6</v>
      </c>
      <c r="J261" s="55">
        <v>5713.5</v>
      </c>
      <c r="K261" s="55">
        <v>5033.6000000000004</v>
      </c>
      <c r="L261" s="55">
        <v>0</v>
      </c>
      <c r="M261" s="56">
        <v>226</v>
      </c>
      <c r="N261" s="112">
        <f t="shared" si="72"/>
        <v>2005001.28</v>
      </c>
      <c r="O261" s="55"/>
      <c r="P261" s="63"/>
      <c r="Q261" s="63"/>
      <c r="R261" s="63">
        <v>2005001.28</v>
      </c>
      <c r="S261" s="63">
        <v>0</v>
      </c>
      <c r="T261" s="63"/>
      <c r="U261" s="55">
        <v>398.323521932613</v>
      </c>
      <c r="V261" s="55">
        <v>398.323521932613</v>
      </c>
      <c r="W261" s="109">
        <v>2023</v>
      </c>
      <c r="X261" s="6" t="e">
        <v>#REF!</v>
      </c>
      <c r="Z261" s="62">
        <f t="shared" si="79"/>
        <v>2266972.17</v>
      </c>
      <c r="AA261" s="55">
        <v>0</v>
      </c>
      <c r="AB261" s="55">
        <v>0</v>
      </c>
      <c r="AC261" s="55">
        <v>0</v>
      </c>
      <c r="AD261" s="55">
        <v>0</v>
      </c>
      <c r="AE261" s="55">
        <v>1990601.96</v>
      </c>
      <c r="AF261" s="55"/>
      <c r="AG261" s="55">
        <v>0</v>
      </c>
      <c r="AH261" s="55">
        <v>0</v>
      </c>
      <c r="AI261" s="55">
        <v>0</v>
      </c>
      <c r="AJ261" s="55">
        <v>0</v>
      </c>
      <c r="AK261" s="55">
        <v>0</v>
      </c>
      <c r="AL261" s="55">
        <v>0</v>
      </c>
      <c r="AM261" s="55">
        <v>251970.89</v>
      </c>
      <c r="AN261" s="63">
        <v>10000</v>
      </c>
      <c r="AO261" s="64">
        <v>14399.32</v>
      </c>
      <c r="AP261" s="61">
        <f>+N261-'Приложение №2'!E261</f>
        <v>0</v>
      </c>
      <c r="AQ261" s="1">
        <v>2355088.06</v>
      </c>
      <c r="AR261" s="3">
        <f>+(K261*10+L261*20)*12*0.85</f>
        <v>513427.20000000001</v>
      </c>
      <c r="AS261" s="3">
        <f>+(K261*10+L261*20)*12*30</f>
        <v>18120960</v>
      </c>
      <c r="AT261" s="6">
        <f t="shared" si="73"/>
        <v>-18120960</v>
      </c>
      <c r="AU261" s="6" t="e">
        <v>#REF!</v>
      </c>
      <c r="AV261" s="6" t="e">
        <v>#REF!</v>
      </c>
      <c r="AW261" s="62">
        <f t="shared" si="74"/>
        <v>2005001.28</v>
      </c>
      <c r="AX261" s="55">
        <v>0</v>
      </c>
      <c r="AY261" s="55">
        <v>0</v>
      </c>
      <c r="AZ261" s="55">
        <v>0</v>
      </c>
      <c r="BA261" s="55">
        <v>0</v>
      </c>
      <c r="BB261" s="55">
        <v>1990601.96</v>
      </c>
      <c r="BC261" s="55"/>
      <c r="BD261" s="55"/>
      <c r="BE261" s="55">
        <v>0</v>
      </c>
      <c r="BF261" s="55">
        <v>0</v>
      </c>
      <c r="BG261" s="55">
        <v>0</v>
      </c>
      <c r="BH261" s="55">
        <v>0</v>
      </c>
      <c r="BI261" s="55">
        <v>0</v>
      </c>
      <c r="BJ261" s="55"/>
      <c r="BK261" s="63"/>
      <c r="BL261" s="111">
        <v>14399.32</v>
      </c>
      <c r="BM261" s="62">
        <f t="shared" si="75"/>
        <v>2005001.28</v>
      </c>
      <c r="BN261" s="55">
        <v>0</v>
      </c>
      <c r="BO261" s="55">
        <v>0</v>
      </c>
      <c r="BP261" s="55">
        <v>0</v>
      </c>
      <c r="BQ261" s="55">
        <v>0</v>
      </c>
      <c r="BR261" s="55">
        <v>1990601.96</v>
      </c>
      <c r="BS261" s="55"/>
      <c r="BT261" s="55"/>
      <c r="BU261" s="55">
        <v>0</v>
      </c>
      <c r="BV261" s="55">
        <v>0</v>
      </c>
      <c r="BW261" s="55">
        <v>0</v>
      </c>
      <c r="BX261" s="55">
        <v>0</v>
      </c>
      <c r="BY261" s="55">
        <v>0</v>
      </c>
      <c r="BZ261" s="55"/>
      <c r="CA261" s="63"/>
      <c r="CB261" s="64">
        <v>14399.32</v>
      </c>
      <c r="CD261" s="6"/>
    </row>
    <row r="262" spans="1:84" x14ac:dyDescent="0.25">
      <c r="A262" s="105">
        <f t="shared" si="76"/>
        <v>243</v>
      </c>
      <c r="B262" s="106">
        <f t="shared" si="78"/>
        <v>55</v>
      </c>
      <c r="C262" s="107" t="s">
        <v>108</v>
      </c>
      <c r="D262" s="107" t="s">
        <v>344</v>
      </c>
      <c r="E262" s="54">
        <v>1979</v>
      </c>
      <c r="F262" s="54">
        <v>2013</v>
      </c>
      <c r="G262" s="54" t="s">
        <v>64</v>
      </c>
      <c r="H262" s="54">
        <v>5</v>
      </c>
      <c r="I262" s="54">
        <v>4</v>
      </c>
      <c r="J262" s="55">
        <v>3602.3</v>
      </c>
      <c r="K262" s="55">
        <v>3466.4</v>
      </c>
      <c r="L262" s="55">
        <v>0</v>
      </c>
      <c r="M262" s="56">
        <v>87</v>
      </c>
      <c r="N262" s="108">
        <f t="shared" si="72"/>
        <v>2193790.351770997</v>
      </c>
      <c r="O262" s="63"/>
      <c r="P262" s="63"/>
      <c r="Q262" s="63"/>
      <c r="R262" s="63">
        <v>382001.59333554702</v>
      </c>
      <c r="S262" s="63">
        <v>1811788.75843545</v>
      </c>
      <c r="T262" s="63"/>
      <c r="U262" s="63">
        <v>5381.5013600683696</v>
      </c>
      <c r="V262" s="63">
        <v>1278.2830200640001</v>
      </c>
      <c r="W262" s="109">
        <v>2023</v>
      </c>
      <c r="X262" s="6" t="e">
        <v>#REF!</v>
      </c>
      <c r="Z262" s="62">
        <f t="shared" si="79"/>
        <v>20589034.119999997</v>
      </c>
      <c r="AA262" s="55">
        <v>9020010.4696379993</v>
      </c>
      <c r="AB262" s="55">
        <v>3231794.773788</v>
      </c>
      <c r="AC262" s="55">
        <v>3412556.6672820002</v>
      </c>
      <c r="AD262" s="55">
        <v>2178146.673738</v>
      </c>
      <c r="AE262" s="55">
        <v>1610487.0989339999</v>
      </c>
      <c r="AF262" s="55"/>
      <c r="AG262" s="55">
        <v>324068.03834999999</v>
      </c>
      <c r="AH262" s="55">
        <v>0</v>
      </c>
      <c r="AI262" s="55">
        <v>0</v>
      </c>
      <c r="AJ262" s="55">
        <v>0</v>
      </c>
      <c r="AK262" s="55">
        <v>0</v>
      </c>
      <c r="AL262" s="55">
        <v>0</v>
      </c>
      <c r="AM262" s="55">
        <v>334025.17</v>
      </c>
      <c r="AN262" s="55">
        <v>45460.9</v>
      </c>
      <c r="AO262" s="64">
        <v>432484.32827</v>
      </c>
      <c r="AP262" s="61">
        <f>+N262-'Приложение №2'!E262</f>
        <v>0</v>
      </c>
      <c r="AQ262" s="65">
        <v>2119168.21</v>
      </c>
      <c r="AR262" s="3">
        <f>+(K262*10.5+L262*21)*12*0.85</f>
        <v>371251.44</v>
      </c>
      <c r="AS262" s="3">
        <f>+(K262*10.5+L262*21)*12*30</f>
        <v>13102992</v>
      </c>
      <c r="AT262" s="6">
        <f t="shared" si="73"/>
        <v>-11291203.24156455</v>
      </c>
      <c r="AU262" s="6" t="e">
        <v>#REF!</v>
      </c>
      <c r="AV262" s="6" t="e">
        <v>#REF!</v>
      </c>
      <c r="AW262" s="110">
        <f t="shared" si="74"/>
        <v>18654436.314541005</v>
      </c>
      <c r="AX262" s="55">
        <v>9020010.4696379993</v>
      </c>
      <c r="AY262" s="55">
        <v>3057898.49</v>
      </c>
      <c r="AZ262" s="55">
        <v>3412556.6672820002</v>
      </c>
      <c r="BA262" s="55">
        <v>2178472.4900000002</v>
      </c>
      <c r="BB262" s="55"/>
      <c r="BC262" s="55"/>
      <c r="BD262" s="55">
        <v>324068.03834999999</v>
      </c>
      <c r="BE262" s="55">
        <v>0</v>
      </c>
      <c r="BF262" s="55">
        <v>0</v>
      </c>
      <c r="BG262" s="55">
        <v>0</v>
      </c>
      <c r="BH262" s="55">
        <v>0</v>
      </c>
      <c r="BI262" s="55">
        <v>0</v>
      </c>
      <c r="BJ262" s="55">
        <v>239862.8475</v>
      </c>
      <c r="BK262" s="55">
        <f>24000</f>
        <v>24000</v>
      </c>
      <c r="BL262" s="111">
        <v>397567.31177099998</v>
      </c>
      <c r="BM262" s="110">
        <f t="shared" si="75"/>
        <v>16991652.147259001</v>
      </c>
      <c r="BN262" s="55">
        <v>9020010.4696379993</v>
      </c>
      <c r="BO262" s="55">
        <v>3057898.49</v>
      </c>
      <c r="BP262" s="55">
        <v>1749772.5</v>
      </c>
      <c r="BQ262" s="55">
        <v>2178472.4900000002</v>
      </c>
      <c r="BR262" s="55"/>
      <c r="BS262" s="55"/>
      <c r="BT262" s="55">
        <v>324068.03834999999</v>
      </c>
      <c r="BU262" s="55">
        <v>0</v>
      </c>
      <c r="BV262" s="55">
        <v>0</v>
      </c>
      <c r="BW262" s="55">
        <v>0</v>
      </c>
      <c r="BX262" s="55">
        <v>0</v>
      </c>
      <c r="BY262" s="55">
        <v>0</v>
      </c>
      <c r="BZ262" s="55">
        <v>239862.8475</v>
      </c>
      <c r="CA262" s="55">
        <f>24000</f>
        <v>24000</v>
      </c>
      <c r="CB262" s="64">
        <v>397567.31177099998</v>
      </c>
    </row>
    <row r="263" spans="1:84" x14ac:dyDescent="0.25">
      <c r="A263" s="105">
        <f t="shared" si="76"/>
        <v>244</v>
      </c>
      <c r="B263" s="106">
        <f t="shared" si="78"/>
        <v>56</v>
      </c>
      <c r="C263" s="53" t="s">
        <v>108</v>
      </c>
      <c r="D263" s="53" t="s">
        <v>140</v>
      </c>
      <c r="E263" s="54">
        <v>1977</v>
      </c>
      <c r="F263" s="54">
        <v>2013</v>
      </c>
      <c r="G263" s="54" t="s">
        <v>64</v>
      </c>
      <c r="H263" s="54">
        <v>5</v>
      </c>
      <c r="I263" s="54">
        <v>4</v>
      </c>
      <c r="J263" s="55">
        <v>3776.9</v>
      </c>
      <c r="K263" s="55">
        <v>3428.1</v>
      </c>
      <c r="L263" s="55">
        <v>0</v>
      </c>
      <c r="M263" s="56">
        <v>165</v>
      </c>
      <c r="N263" s="112">
        <f t="shared" si="72"/>
        <v>15704373.820629401</v>
      </c>
      <c r="O263" s="55"/>
      <c r="P263" s="63"/>
      <c r="Q263" s="63"/>
      <c r="R263" s="63">
        <v>2501614.39</v>
      </c>
      <c r="S263" s="63">
        <v>13202759.430629401</v>
      </c>
      <c r="T263" s="63"/>
      <c r="U263" s="63">
        <v>5902.5515432163602</v>
      </c>
      <c r="V263" s="63">
        <v>1279.2830200640001</v>
      </c>
      <c r="W263" s="109">
        <v>2023</v>
      </c>
      <c r="X263" s="6" t="e">
        <v>#REF!</v>
      </c>
      <c r="Z263" s="62">
        <f t="shared" si="79"/>
        <v>11360184.469999999</v>
      </c>
      <c r="AA263" s="55">
        <v>3337702.32</v>
      </c>
      <c r="AB263" s="55">
        <v>1996791.36</v>
      </c>
      <c r="AC263" s="55">
        <v>1053038.83</v>
      </c>
      <c r="AD263" s="55">
        <v>1225903.6200000001</v>
      </c>
      <c r="AE263" s="55"/>
      <c r="AF263" s="55"/>
      <c r="AG263" s="55"/>
      <c r="AH263" s="55">
        <v>0</v>
      </c>
      <c r="AI263" s="55">
        <v>3746748.34</v>
      </c>
      <c r="AJ263" s="55">
        <v>0</v>
      </c>
      <c r="AK263" s="55"/>
      <c r="AL263" s="55"/>
      <c r="AM263" s="55"/>
      <c r="AN263" s="63"/>
      <c r="AO263" s="64"/>
      <c r="AP263" s="61">
        <f>+N263-'Приложение №2'!E263</f>
        <v>-1.862645149230957E-8</v>
      </c>
      <c r="AQ263" s="65">
        <v>2134464.88</v>
      </c>
      <c r="AR263" s="3">
        <f>+(K263*10.5+L263*21)*12*0.85</f>
        <v>367149.50999999995</v>
      </c>
      <c r="AS263" s="3">
        <f>+(K263*10.5+L263*21)*12*30</f>
        <v>12958218</v>
      </c>
      <c r="AT263" s="6">
        <f t="shared" si="73"/>
        <v>244541.43062940054</v>
      </c>
      <c r="AU263" s="6" t="e">
        <v>#REF!</v>
      </c>
      <c r="AV263" s="6" t="e">
        <v>#REF!</v>
      </c>
      <c r="AW263" s="110">
        <f t="shared" si="74"/>
        <v>20234536.94530002</v>
      </c>
      <c r="AX263" s="55"/>
      <c r="AY263" s="55"/>
      <c r="AZ263" s="55"/>
      <c r="BA263" s="55"/>
      <c r="BB263" s="55"/>
      <c r="BC263" s="55"/>
      <c r="BD263" s="55"/>
      <c r="BE263" s="55"/>
      <c r="BF263" s="55"/>
      <c r="BG263" s="55"/>
      <c r="BH263" s="55">
        <v>19801517.854670599</v>
      </c>
      <c r="BI263" s="55">
        <v>0</v>
      </c>
      <c r="BJ263" s="55"/>
      <c r="BK263" s="55"/>
      <c r="BL263" s="111">
        <v>433019.09062942001</v>
      </c>
      <c r="BM263" s="110">
        <f t="shared" si="75"/>
        <v>20234536.94530002</v>
      </c>
      <c r="BN263" s="55"/>
      <c r="BO263" s="55"/>
      <c r="BP263" s="55"/>
      <c r="BQ263" s="55"/>
      <c r="BR263" s="55"/>
      <c r="BS263" s="55"/>
      <c r="BT263" s="55"/>
      <c r="BU263" s="55"/>
      <c r="BV263" s="55"/>
      <c r="BW263" s="55"/>
      <c r="BX263" s="55">
        <v>19801517.854670599</v>
      </c>
      <c r="BY263" s="55">
        <v>0</v>
      </c>
      <c r="BZ263" s="55"/>
      <c r="CA263" s="55"/>
      <c r="CB263" s="64">
        <v>433019.09062942001</v>
      </c>
      <c r="CD263" s="3"/>
    </row>
    <row r="264" spans="1:84" x14ac:dyDescent="0.25">
      <c r="A264" s="105">
        <f t="shared" si="76"/>
        <v>245</v>
      </c>
      <c r="B264" s="106">
        <f t="shared" si="78"/>
        <v>57</v>
      </c>
      <c r="C264" s="53" t="s">
        <v>108</v>
      </c>
      <c r="D264" s="53" t="s">
        <v>345</v>
      </c>
      <c r="E264" s="54">
        <v>1978</v>
      </c>
      <c r="F264" s="54">
        <v>2013</v>
      </c>
      <c r="G264" s="54" t="s">
        <v>64</v>
      </c>
      <c r="H264" s="54">
        <v>5</v>
      </c>
      <c r="I264" s="54">
        <v>4</v>
      </c>
      <c r="J264" s="55">
        <v>4846.8</v>
      </c>
      <c r="K264" s="55">
        <v>4276.3999999999996</v>
      </c>
      <c r="L264" s="55">
        <v>0</v>
      </c>
      <c r="M264" s="56">
        <v>174</v>
      </c>
      <c r="N264" s="112">
        <f t="shared" si="72"/>
        <v>4815268.0375107005</v>
      </c>
      <c r="O264" s="55"/>
      <c r="P264" s="63"/>
      <c r="Q264" s="63"/>
      <c r="R264" s="63">
        <v>2340702.7400000002</v>
      </c>
      <c r="S264" s="63">
        <v>2474565.2975106998</v>
      </c>
      <c r="T264" s="55"/>
      <c r="U264" s="63">
        <v>1705.7012597069299</v>
      </c>
      <c r="V264" s="63">
        <v>1705.7012597069299</v>
      </c>
      <c r="W264" s="109">
        <v>2023</v>
      </c>
      <c r="X264" s="6" t="e">
        <v>#REF!</v>
      </c>
      <c r="Z264" s="62">
        <f t="shared" si="79"/>
        <v>10000151.41</v>
      </c>
      <c r="AA264" s="55">
        <v>7149539.5285750804</v>
      </c>
      <c r="AB264" s="55">
        <v>0</v>
      </c>
      <c r="AC264" s="55">
        <v>0</v>
      </c>
      <c r="AD264" s="55">
        <v>0</v>
      </c>
      <c r="AE264" s="55">
        <v>1331362.8144142199</v>
      </c>
      <c r="AF264" s="55"/>
      <c r="AG264" s="55">
        <v>0</v>
      </c>
      <c r="AH264" s="55">
        <v>0</v>
      </c>
      <c r="AI264" s="55">
        <v>0</v>
      </c>
      <c r="AJ264" s="55">
        <v>0</v>
      </c>
      <c r="AK264" s="55">
        <v>0</v>
      </c>
      <c r="AL264" s="55">
        <v>0</v>
      </c>
      <c r="AM264" s="55">
        <v>1233787.3954</v>
      </c>
      <c r="AN264" s="63">
        <v>100001.5141</v>
      </c>
      <c r="AO264" s="64">
        <v>185460.1575107</v>
      </c>
      <c r="AP264" s="61">
        <f>+N264-'Приложение №2'!E264</f>
        <v>0</v>
      </c>
      <c r="AQ264" s="1">
        <f>2003447.04-122937.1</f>
        <v>1880509.94</v>
      </c>
      <c r="AR264" s="3">
        <f>+(K264*10+L264*20)*12*0.85</f>
        <v>436192.8</v>
      </c>
      <c r="AS264" s="3">
        <f>+(K264*10+L264*20)*12*30</f>
        <v>15395040</v>
      </c>
      <c r="AT264" s="6">
        <f t="shared" si="73"/>
        <v>-12920474.7024893</v>
      </c>
      <c r="AW264" s="62">
        <f t="shared" si="74"/>
        <v>7294260.8670106996</v>
      </c>
      <c r="AX264" s="55">
        <v>5775011.7999999998</v>
      </c>
      <c r="AY264" s="55">
        <v>0</v>
      </c>
      <c r="AZ264" s="55">
        <v>0</v>
      </c>
      <c r="BA264" s="55">
        <v>0</v>
      </c>
      <c r="BB264" s="55"/>
      <c r="BC264" s="55"/>
      <c r="BD264" s="55"/>
      <c r="BE264" s="55">
        <v>0</v>
      </c>
      <c r="BF264" s="55">
        <v>0</v>
      </c>
      <c r="BG264" s="55">
        <v>0</v>
      </c>
      <c r="BH264" s="55">
        <v>0</v>
      </c>
      <c r="BI264" s="55">
        <v>0</v>
      </c>
      <c r="BJ264" s="55">
        <v>1233787.3954</v>
      </c>
      <c r="BK264" s="63">
        <v>100001.5141</v>
      </c>
      <c r="BL264" s="111">
        <v>185460.1575107</v>
      </c>
      <c r="BM264" s="62">
        <f t="shared" si="75"/>
        <v>6084756.0270106997</v>
      </c>
      <c r="BN264" s="55">
        <v>4565506.96</v>
      </c>
      <c r="BO264" s="55">
        <v>0</v>
      </c>
      <c r="BP264" s="55">
        <v>0</v>
      </c>
      <c r="BQ264" s="55">
        <v>0</v>
      </c>
      <c r="BR264" s="55"/>
      <c r="BS264" s="55"/>
      <c r="BT264" s="55"/>
      <c r="BU264" s="55">
        <v>0</v>
      </c>
      <c r="BV264" s="55">
        <v>0</v>
      </c>
      <c r="BW264" s="55">
        <v>0</v>
      </c>
      <c r="BX264" s="55">
        <v>0</v>
      </c>
      <c r="BY264" s="55">
        <v>0</v>
      </c>
      <c r="BZ264" s="55">
        <v>1233787.3954</v>
      </c>
      <c r="CA264" s="63">
        <v>100001.5141</v>
      </c>
      <c r="CB264" s="64">
        <v>185460.1575107</v>
      </c>
      <c r="CD264" s="6"/>
    </row>
    <row r="265" spans="1:84" x14ac:dyDescent="0.25">
      <c r="A265" s="105">
        <f t="shared" si="76"/>
        <v>246</v>
      </c>
      <c r="B265" s="106">
        <f t="shared" si="78"/>
        <v>58</v>
      </c>
      <c r="C265" s="107" t="s">
        <v>108</v>
      </c>
      <c r="D265" s="107" t="s">
        <v>346</v>
      </c>
      <c r="E265" s="54">
        <v>1978</v>
      </c>
      <c r="F265" s="54">
        <v>2008</v>
      </c>
      <c r="G265" s="54" t="s">
        <v>64</v>
      </c>
      <c r="H265" s="54">
        <v>5</v>
      </c>
      <c r="I265" s="54">
        <v>4</v>
      </c>
      <c r="J265" s="55">
        <v>4929.7</v>
      </c>
      <c r="K265" s="55">
        <v>4335.1000000000004</v>
      </c>
      <c r="L265" s="55">
        <v>0</v>
      </c>
      <c r="M265" s="56">
        <v>213</v>
      </c>
      <c r="N265" s="108">
        <f t="shared" si="72"/>
        <v>1759022.72617666</v>
      </c>
      <c r="O265" s="63"/>
      <c r="P265" s="63"/>
      <c r="Q265" s="63"/>
      <c r="R265" s="63">
        <v>450000</v>
      </c>
      <c r="S265" s="63">
        <v>1309022.72617666</v>
      </c>
      <c r="T265" s="113"/>
      <c r="U265" s="55">
        <v>2164.3192336970301</v>
      </c>
      <c r="V265" s="55">
        <v>2164.3192336970301</v>
      </c>
      <c r="W265" s="109">
        <v>2023</v>
      </c>
      <c r="X265" s="6" t="e">
        <v>#REF!</v>
      </c>
      <c r="Z265" s="62">
        <f t="shared" si="79"/>
        <v>44837101.509929962</v>
      </c>
      <c r="AA265" s="55">
        <v>0</v>
      </c>
      <c r="AB265" s="55">
        <v>4199173.3275891002</v>
      </c>
      <c r="AC265" s="55">
        <v>4438837.1277801599</v>
      </c>
      <c r="AD265" s="55">
        <v>3384651.0431630402</v>
      </c>
      <c r="AE265" s="55">
        <v>1471946.54</v>
      </c>
      <c r="AF265" s="55"/>
      <c r="AG265" s="55">
        <v>360791.89596240001</v>
      </c>
      <c r="AH265" s="55">
        <v>0</v>
      </c>
      <c r="AI265" s="55">
        <v>0</v>
      </c>
      <c r="AJ265" s="55">
        <v>0</v>
      </c>
      <c r="AK265" s="55">
        <v>25094924.3780642</v>
      </c>
      <c r="AL265" s="55">
        <v>0</v>
      </c>
      <c r="AM265" s="55">
        <v>4627048.3442000002</v>
      </c>
      <c r="AN265" s="63">
        <v>433511.50790000003</v>
      </c>
      <c r="AO265" s="64">
        <v>826217.34527106001</v>
      </c>
      <c r="AP265" s="61"/>
      <c r="AQ265" s="6">
        <f>2077071.68</f>
        <v>2077071.68</v>
      </c>
      <c r="AR265" s="3">
        <f>+(K265*10+L265*20)*12*0.85</f>
        <v>442180.2</v>
      </c>
      <c r="AS265" s="3">
        <f>+(K265*10+L265*20)*12*30</f>
        <v>15606360</v>
      </c>
      <c r="AT265" s="6">
        <f t="shared" si="73"/>
        <v>-14297337.273823339</v>
      </c>
      <c r="AU265" s="6" t="e">
        <v>#REF!</v>
      </c>
      <c r="AV265" s="6" t="e">
        <v>#REF!</v>
      </c>
      <c r="AW265" s="62">
        <f t="shared" si="74"/>
        <v>9382540.3126575109</v>
      </c>
      <c r="AX265" s="55">
        <v>0</v>
      </c>
      <c r="AY265" s="55">
        <v>2812958.6787006902</v>
      </c>
      <c r="AZ265" s="55">
        <v>4438837.1277801599</v>
      </c>
      <c r="BA265" s="55"/>
      <c r="BB265" s="55">
        <v>1471946.54</v>
      </c>
      <c r="BC265" s="55"/>
      <c r="BD265" s="55"/>
      <c r="BE265" s="55">
        <v>0</v>
      </c>
      <c r="BF265" s="55">
        <v>0</v>
      </c>
      <c r="BG265" s="55">
        <v>0</v>
      </c>
      <c r="BH265" s="55"/>
      <c r="BI265" s="55">
        <v>0</v>
      </c>
      <c r="BJ265" s="55"/>
      <c r="BK265" s="63"/>
      <c r="BL265" s="111">
        <f>555416.30026576+103381.6659109</f>
        <v>658797.96617666003</v>
      </c>
      <c r="BM265" s="62">
        <f t="shared" si="75"/>
        <v>7669806.3939568195</v>
      </c>
      <c r="BN265" s="55">
        <v>0</v>
      </c>
      <c r="BO265" s="55">
        <v>1100224.76</v>
      </c>
      <c r="BP265" s="55">
        <v>4438837.1277801599</v>
      </c>
      <c r="BQ265" s="55"/>
      <c r="BR265" s="55">
        <v>1471946.54</v>
      </c>
      <c r="BS265" s="55"/>
      <c r="BT265" s="55"/>
      <c r="BU265" s="55">
        <v>0</v>
      </c>
      <c r="BV265" s="55">
        <v>0</v>
      </c>
      <c r="BW265" s="55">
        <v>0</v>
      </c>
      <c r="BX265" s="55"/>
      <c r="BY265" s="55">
        <v>0</v>
      </c>
      <c r="BZ265" s="55"/>
      <c r="CA265" s="63"/>
      <c r="CB265" s="64">
        <f>555416.30026576+103381.6659109</f>
        <v>658797.96617666003</v>
      </c>
      <c r="CD265" s="3"/>
      <c r="CE265" s="117"/>
    </row>
    <row r="266" spans="1:84" x14ac:dyDescent="0.25">
      <c r="A266" s="105">
        <f t="shared" si="76"/>
        <v>247</v>
      </c>
      <c r="B266" s="106">
        <f t="shared" si="78"/>
        <v>59</v>
      </c>
      <c r="C266" s="107" t="s">
        <v>108</v>
      </c>
      <c r="D266" s="107" t="s">
        <v>142</v>
      </c>
      <c r="E266" s="54">
        <v>1978</v>
      </c>
      <c r="F266" s="54">
        <v>2013</v>
      </c>
      <c r="G266" s="54" t="s">
        <v>64</v>
      </c>
      <c r="H266" s="54">
        <v>5</v>
      </c>
      <c r="I266" s="54">
        <v>4</v>
      </c>
      <c r="J266" s="55">
        <v>4866.6000000000004</v>
      </c>
      <c r="K266" s="55">
        <v>4226.8</v>
      </c>
      <c r="L266" s="55">
        <v>67</v>
      </c>
      <c r="M266" s="56">
        <v>317</v>
      </c>
      <c r="N266" s="108">
        <f t="shared" si="72"/>
        <v>23341358.24886452</v>
      </c>
      <c r="O266" s="63"/>
      <c r="P266" s="63">
        <v>13957122.720000001</v>
      </c>
      <c r="Q266" s="63"/>
      <c r="R266" s="63">
        <v>2041212.9535000999</v>
      </c>
      <c r="S266" s="63">
        <v>7343022.5753644202</v>
      </c>
      <c r="T266" s="63"/>
      <c r="U266" s="63">
        <v>5995.9268457935104</v>
      </c>
      <c r="V266" s="63">
        <v>1281.2830200640001</v>
      </c>
      <c r="W266" s="109">
        <v>2023</v>
      </c>
      <c r="X266" s="6" t="e">
        <v>#REF!</v>
      </c>
      <c r="Z266" s="62">
        <f t="shared" si="79"/>
        <v>13545152.119999999</v>
      </c>
      <c r="AA266" s="55">
        <v>4053995.74</v>
      </c>
      <c r="AB266" s="55">
        <v>2307213.9</v>
      </c>
      <c r="AC266" s="55">
        <v>1224462.97</v>
      </c>
      <c r="AD266" s="55">
        <v>1111568.24</v>
      </c>
      <c r="AE266" s="55"/>
      <c r="AF266" s="55"/>
      <c r="AG266" s="55"/>
      <c r="AH266" s="55">
        <v>0</v>
      </c>
      <c r="AI266" s="55">
        <v>4847911.2699999996</v>
      </c>
      <c r="AJ266" s="55">
        <v>0</v>
      </c>
      <c r="AK266" s="55"/>
      <c r="AL266" s="55"/>
      <c r="AM266" s="55"/>
      <c r="AN266" s="63"/>
      <c r="AO266" s="64"/>
      <c r="AP266" s="61">
        <f>+N266-'Приложение №2'!E266</f>
        <v>0</v>
      </c>
      <c r="AQ266" s="6">
        <f>2617689.67-682951.44-R85</f>
        <v>1574171.2735001</v>
      </c>
      <c r="AR266" s="3">
        <f>+(K266*10.5+L266*21)*12*0.85</f>
        <v>467041.68000000005</v>
      </c>
      <c r="AS266" s="3">
        <f>+(K266*10.5+L266*21)*12*30-4953727.17-S85</f>
        <v>7730988.4906000122</v>
      </c>
      <c r="AT266" s="6">
        <f t="shared" si="73"/>
        <v>-387965.91523559205</v>
      </c>
      <c r="AU266" s="6" t="e">
        <v>#REF!</v>
      </c>
      <c r="AV266" s="6" t="e">
        <v>#REF!</v>
      </c>
      <c r="AW266" s="110">
        <f t="shared" si="74"/>
        <v>25343583.591800023</v>
      </c>
      <c r="AX266" s="55"/>
      <c r="AY266" s="55"/>
      <c r="AZ266" s="55"/>
      <c r="BA266" s="55"/>
      <c r="BB266" s="55"/>
      <c r="BC266" s="55"/>
      <c r="BD266" s="55"/>
      <c r="BE266" s="55">
        <v>0</v>
      </c>
      <c r="BF266" s="55"/>
      <c r="BG266" s="55">
        <v>0</v>
      </c>
      <c r="BH266" s="55">
        <v>24801230.902935501</v>
      </c>
      <c r="BI266" s="55"/>
      <c r="BJ266" s="55"/>
      <c r="BK266" s="63"/>
      <c r="BL266" s="111">
        <v>542352.68886452005</v>
      </c>
      <c r="BM266" s="110">
        <f t="shared" si="75"/>
        <v>25343583.591800023</v>
      </c>
      <c r="BN266" s="55"/>
      <c r="BO266" s="55"/>
      <c r="BP266" s="55"/>
      <c r="BQ266" s="55"/>
      <c r="BR266" s="55"/>
      <c r="BS266" s="55"/>
      <c r="BT266" s="55"/>
      <c r="BU266" s="55">
        <v>0</v>
      </c>
      <c r="BV266" s="55"/>
      <c r="BW266" s="55">
        <v>0</v>
      </c>
      <c r="BX266" s="55">
        <v>24801230.902935501</v>
      </c>
      <c r="BY266" s="55"/>
      <c r="BZ266" s="55"/>
      <c r="CA266" s="63"/>
      <c r="CB266" s="64">
        <v>542352.68886452005</v>
      </c>
      <c r="CD266" s="6"/>
    </row>
    <row r="267" spans="1:84" x14ac:dyDescent="0.25">
      <c r="A267" s="105">
        <f t="shared" si="76"/>
        <v>248</v>
      </c>
      <c r="B267" s="106">
        <f t="shared" si="78"/>
        <v>60</v>
      </c>
      <c r="C267" s="107" t="s">
        <v>108</v>
      </c>
      <c r="D267" s="107" t="s">
        <v>143</v>
      </c>
      <c r="E267" s="54">
        <v>1981</v>
      </c>
      <c r="F267" s="54">
        <v>2009</v>
      </c>
      <c r="G267" s="54" t="s">
        <v>64</v>
      </c>
      <c r="H267" s="54">
        <v>5</v>
      </c>
      <c r="I267" s="54">
        <v>4</v>
      </c>
      <c r="J267" s="55">
        <v>6938.7</v>
      </c>
      <c r="K267" s="55">
        <v>6182.6</v>
      </c>
      <c r="L267" s="55">
        <v>0</v>
      </c>
      <c r="M267" s="56">
        <v>194</v>
      </c>
      <c r="N267" s="108">
        <f t="shared" si="72"/>
        <v>18165337.9167738</v>
      </c>
      <c r="O267" s="63"/>
      <c r="P267" s="63">
        <v>2076617.87</v>
      </c>
      <c r="Q267" s="63"/>
      <c r="R267" s="63">
        <v>3054172.49</v>
      </c>
      <c r="S267" s="63">
        <v>6919671.1767737996</v>
      </c>
      <c r="T267" s="63">
        <v>6114876.3799999999</v>
      </c>
      <c r="U267" s="55">
        <v>8696.48241719611</v>
      </c>
      <c r="V267" s="55">
        <v>8696.48241719611</v>
      </c>
      <c r="W267" s="109">
        <v>2023</v>
      </c>
      <c r="X267" s="6" t="e">
        <v>#REF!</v>
      </c>
      <c r="Z267" s="62">
        <f t="shared" si="79"/>
        <v>112490116.45000003</v>
      </c>
      <c r="AA267" s="55">
        <v>10300846.191237399</v>
      </c>
      <c r="AB267" s="55">
        <v>5957260.9616612401</v>
      </c>
      <c r="AC267" s="55">
        <v>6297265.91769912</v>
      </c>
      <c r="AD267" s="55">
        <v>4801718.7991861198</v>
      </c>
      <c r="AE267" s="55">
        <v>1918188.3660231601</v>
      </c>
      <c r="AF267" s="55"/>
      <c r="AG267" s="55">
        <v>511846.3343322</v>
      </c>
      <c r="AH267" s="55">
        <v>0</v>
      </c>
      <c r="AI267" s="55">
        <v>18337074.5641356</v>
      </c>
      <c r="AJ267" s="55">
        <v>0</v>
      </c>
      <c r="AK267" s="55">
        <v>35601534.275782898</v>
      </c>
      <c r="AL267" s="55">
        <v>14001626.8190547</v>
      </c>
      <c r="AM267" s="55">
        <v>11500753.5758</v>
      </c>
      <c r="AN267" s="63">
        <v>1124901.1645</v>
      </c>
      <c r="AO267" s="64">
        <v>2137099.4805875798</v>
      </c>
      <c r="AP267" s="61">
        <f>+N267-'Приложение №2'!E267</f>
        <v>0</v>
      </c>
      <c r="AQ267" s="6">
        <f>2933225.6-137130.98-R86</f>
        <v>616710.84000000032</v>
      </c>
      <c r="AR267" s="3">
        <f>+(K267*10+L267*20)*12*0.85</f>
        <v>630625.19999999995</v>
      </c>
      <c r="AS267" s="3">
        <f>+(K267*10+L267*20)*12*30-S86</f>
        <v>5807839.7832261994</v>
      </c>
      <c r="AT267" s="6">
        <f t="shared" si="73"/>
        <v>1111831.3935476001</v>
      </c>
      <c r="AU267" s="6" t="e">
        <v>#REF!</v>
      </c>
      <c r="AV267" s="6" t="e">
        <v>#REF!</v>
      </c>
      <c r="AW267" s="62">
        <f t="shared" si="74"/>
        <v>53766872.192556694</v>
      </c>
      <c r="AX267" s="55"/>
      <c r="AY267" s="55"/>
      <c r="AZ267" s="1">
        <v>4113294.16</v>
      </c>
      <c r="BA267" s="55"/>
      <c r="BB267" s="55"/>
      <c r="BC267" s="55"/>
      <c r="BD267" s="55"/>
      <c r="BE267" s="55">
        <v>0</v>
      </c>
      <c r="BF267" s="55"/>
      <c r="BG267" s="55">
        <v>0</v>
      </c>
      <c r="BH267" s="55">
        <v>35601534.275782898</v>
      </c>
      <c r="BI267" s="55">
        <v>13661056.57</v>
      </c>
      <c r="BJ267" s="55"/>
      <c r="BK267" s="63"/>
      <c r="BL267" s="111">
        <v>390987.1867738</v>
      </c>
      <c r="BM267" s="62">
        <f t="shared" si="75"/>
        <v>53766872.192556694</v>
      </c>
      <c r="BN267" s="55"/>
      <c r="BO267" s="55"/>
      <c r="BP267" s="3">
        <v>4113294.16</v>
      </c>
      <c r="BQ267" s="55"/>
      <c r="BR267" s="55"/>
      <c r="BS267" s="55"/>
      <c r="BT267" s="55"/>
      <c r="BU267" s="55">
        <v>0</v>
      </c>
      <c r="BV267" s="55"/>
      <c r="BW267" s="55">
        <v>0</v>
      </c>
      <c r="BX267" s="55">
        <v>35601534.275782898</v>
      </c>
      <c r="BY267" s="55">
        <v>13661056.57</v>
      </c>
      <c r="BZ267" s="55"/>
      <c r="CA267" s="63"/>
      <c r="CB267" s="64">
        <v>390987.1867738</v>
      </c>
      <c r="CD267" s="6"/>
    </row>
    <row r="268" spans="1:84" x14ac:dyDescent="0.25">
      <c r="A268" s="105">
        <f t="shared" si="76"/>
        <v>249</v>
      </c>
      <c r="B268" s="106">
        <f t="shared" si="78"/>
        <v>61</v>
      </c>
      <c r="C268" s="53" t="s">
        <v>108</v>
      </c>
      <c r="D268" s="53" t="s">
        <v>347</v>
      </c>
      <c r="E268" s="54">
        <v>1990</v>
      </c>
      <c r="F268" s="54">
        <v>2009</v>
      </c>
      <c r="G268" s="54" t="s">
        <v>64</v>
      </c>
      <c r="H268" s="54">
        <v>5</v>
      </c>
      <c r="I268" s="54">
        <v>6</v>
      </c>
      <c r="J268" s="55">
        <v>5593.2</v>
      </c>
      <c r="K268" s="55">
        <v>4942</v>
      </c>
      <c r="L268" s="55">
        <v>0</v>
      </c>
      <c r="M268" s="56">
        <v>206</v>
      </c>
      <c r="N268" s="112">
        <f t="shared" si="72"/>
        <v>5464997.3955119997</v>
      </c>
      <c r="O268" s="55"/>
      <c r="P268" s="63"/>
      <c r="Q268" s="63"/>
      <c r="R268" s="63">
        <v>2725708.02</v>
      </c>
      <c r="S268" s="63">
        <v>2739289.3755120002</v>
      </c>
      <c r="T268" s="63"/>
      <c r="U268" s="55">
        <v>1102.9942119611501</v>
      </c>
      <c r="V268" s="55">
        <v>1102.9942119611501</v>
      </c>
      <c r="W268" s="109">
        <v>2023</v>
      </c>
      <c r="X268" s="6" t="e">
        <v>#REF!</v>
      </c>
      <c r="Z268" s="62">
        <f t="shared" si="79"/>
        <v>12818538.900000025</v>
      </c>
      <c r="AA268" s="55">
        <v>0</v>
      </c>
      <c r="AB268" s="55">
        <v>0</v>
      </c>
      <c r="AC268" s="55">
        <v>0</v>
      </c>
      <c r="AD268" s="55">
        <v>0</v>
      </c>
      <c r="AE268" s="55">
        <v>0</v>
      </c>
      <c r="AF268" s="55"/>
      <c r="AG268" s="55">
        <v>0</v>
      </c>
      <c r="AH268" s="55">
        <v>0</v>
      </c>
      <c r="AI268" s="55">
        <v>0</v>
      </c>
      <c r="AJ268" s="55">
        <v>0</v>
      </c>
      <c r="AK268" s="55">
        <v>0</v>
      </c>
      <c r="AL268" s="55">
        <v>12317589.3489445</v>
      </c>
      <c r="AM268" s="55">
        <v>155875.03</v>
      </c>
      <c r="AN268" s="55">
        <v>75713.789329170002</v>
      </c>
      <c r="AO268" s="64">
        <v>269360.73172635603</v>
      </c>
      <c r="AP268" s="61">
        <f>+N268-'Приложение №2'!E268</f>
        <v>0</v>
      </c>
      <c r="AQ268" s="1">
        <v>2223888.42</v>
      </c>
      <c r="AR268" s="3">
        <f>+(K268*10+L268*20)*12*0.85</f>
        <v>504084</v>
      </c>
      <c r="AS268" s="3">
        <f>+(K268*10+L268*20)*12*30</f>
        <v>17791200</v>
      </c>
      <c r="AT268" s="6">
        <f t="shared" si="73"/>
        <v>-15051910.624488</v>
      </c>
      <c r="AU268" s="6" t="e">
        <v>#REF!</v>
      </c>
      <c r="AV268" s="6" t="e">
        <v>#REF!</v>
      </c>
      <c r="AW268" s="62">
        <f t="shared" si="74"/>
        <v>5450997.3955120007</v>
      </c>
      <c r="AX268" s="55">
        <v>0</v>
      </c>
      <c r="AY268" s="55">
        <v>0</v>
      </c>
      <c r="AZ268" s="55">
        <v>0</v>
      </c>
      <c r="BA268" s="55">
        <v>0</v>
      </c>
      <c r="BB268" s="55">
        <v>0</v>
      </c>
      <c r="BC268" s="55"/>
      <c r="BD268" s="55"/>
      <c r="BE268" s="55">
        <v>0</v>
      </c>
      <c r="BF268" s="55">
        <v>0</v>
      </c>
      <c r="BG268" s="55">
        <v>0</v>
      </c>
      <c r="BH268" s="55">
        <v>0</v>
      </c>
      <c r="BI268" s="55">
        <v>4977661</v>
      </c>
      <c r="BJ268" s="55">
        <v>155875.03</v>
      </c>
      <c r="BK268" s="55">
        <f>47496.79</f>
        <v>47496.79</v>
      </c>
      <c r="BL268" s="111">
        <v>269964.57551200001</v>
      </c>
      <c r="BM268" s="62">
        <f t="shared" si="75"/>
        <v>5450997.3955120007</v>
      </c>
      <c r="BN268" s="55">
        <v>0</v>
      </c>
      <c r="BO268" s="55">
        <v>0</v>
      </c>
      <c r="BP268" s="55">
        <v>0</v>
      </c>
      <c r="BQ268" s="55">
        <v>0</v>
      </c>
      <c r="BR268" s="55">
        <v>0</v>
      </c>
      <c r="BS268" s="55"/>
      <c r="BT268" s="55"/>
      <c r="BU268" s="55">
        <v>0</v>
      </c>
      <c r="BV268" s="55">
        <v>0</v>
      </c>
      <c r="BW268" s="55">
        <v>0</v>
      </c>
      <c r="BX268" s="55">
        <v>0</v>
      </c>
      <c r="BY268" s="55">
        <v>4977661</v>
      </c>
      <c r="BZ268" s="55">
        <v>155875.03</v>
      </c>
      <c r="CA268" s="55">
        <f>47496.79</f>
        <v>47496.79</v>
      </c>
      <c r="CB268" s="64">
        <v>269964.57551200001</v>
      </c>
    </row>
    <row r="269" spans="1:84" x14ac:dyDescent="0.25">
      <c r="A269" s="105">
        <f t="shared" si="76"/>
        <v>250</v>
      </c>
      <c r="B269" s="106">
        <f t="shared" si="78"/>
        <v>62</v>
      </c>
      <c r="C269" s="107" t="s">
        <v>108</v>
      </c>
      <c r="D269" s="107" t="s">
        <v>348</v>
      </c>
      <c r="E269" s="54">
        <v>1969</v>
      </c>
      <c r="F269" s="54">
        <v>2013</v>
      </c>
      <c r="G269" s="54" t="s">
        <v>64</v>
      </c>
      <c r="H269" s="54">
        <v>5</v>
      </c>
      <c r="I269" s="54">
        <v>1</v>
      </c>
      <c r="J269" s="55">
        <v>4537.3</v>
      </c>
      <c r="K269" s="55">
        <v>1650.2</v>
      </c>
      <c r="L269" s="55">
        <v>2887.1</v>
      </c>
      <c r="M269" s="56">
        <v>209</v>
      </c>
      <c r="N269" s="108">
        <f t="shared" si="72"/>
        <v>33937482.153738216</v>
      </c>
      <c r="O269" s="63"/>
      <c r="P269" s="63">
        <v>3487044.1172583001</v>
      </c>
      <c r="Q269" s="63"/>
      <c r="R269" s="63">
        <v>5122527.8533558203</v>
      </c>
      <c r="S269" s="63">
        <v>25327910.183124099</v>
      </c>
      <c r="T269" s="63"/>
      <c r="U269" s="63">
        <v>31220.809564764601</v>
      </c>
      <c r="V269" s="63">
        <v>1283.2830200640001</v>
      </c>
      <c r="W269" s="109">
        <v>2023</v>
      </c>
      <c r="X269" s="6" t="e">
        <v>#REF!</v>
      </c>
      <c r="Z269" s="62">
        <f t="shared" si="79"/>
        <v>18609674.18474108</v>
      </c>
      <c r="AA269" s="55">
        <v>3688251.5852036402</v>
      </c>
      <c r="AB269" s="55"/>
      <c r="AC269" s="55">
        <v>1373125.6438191601</v>
      </c>
      <c r="AD269" s="55">
        <v>859663.46708760003</v>
      </c>
      <c r="AE269" s="55">
        <v>0</v>
      </c>
      <c r="AF269" s="55"/>
      <c r="AG269" s="55">
        <v>0</v>
      </c>
      <c r="AH269" s="55">
        <v>0</v>
      </c>
      <c r="AI269" s="55">
        <v>6742685.0844486002</v>
      </c>
      <c r="AJ269" s="55">
        <v>0</v>
      </c>
      <c r="AK269" s="55">
        <v>3500833.3089198</v>
      </c>
      <c r="AL269" s="55">
        <v>0</v>
      </c>
      <c r="AM269" s="55">
        <v>1863648.8813</v>
      </c>
      <c r="AN269" s="63">
        <v>199239.49849999999</v>
      </c>
      <c r="AO269" s="64">
        <v>382226.71546227997</v>
      </c>
      <c r="AP269" s="61">
        <f>+N269-'Приложение №2'!E269</f>
        <v>0</v>
      </c>
      <c r="AQ269" s="65">
        <v>4743042.5999999996</v>
      </c>
      <c r="AR269" s="3">
        <f>+(K269*10.5+L269*21)*12*0.85</f>
        <v>795153.23999999987</v>
      </c>
      <c r="AS269" s="3">
        <f>+(K269*10.5+L269*21)*12*30</f>
        <v>28064231.999999996</v>
      </c>
      <c r="AT269" s="6">
        <f t="shared" si="73"/>
        <v>-2736321.8168758973</v>
      </c>
      <c r="AU269" s="6" t="e">
        <v>#REF!</v>
      </c>
      <c r="AV269" s="6" t="e">
        <v>#REF!</v>
      </c>
      <c r="AW269" s="110">
        <f t="shared" si="74"/>
        <v>51520579.943774529</v>
      </c>
      <c r="AX269" s="55">
        <v>10832940.959798999</v>
      </c>
      <c r="AY269" s="55">
        <v>0</v>
      </c>
      <c r="AZ269" s="55">
        <v>4033071.5218924801</v>
      </c>
      <c r="BA269" s="55">
        <v>0</v>
      </c>
      <c r="BB269" s="55">
        <v>0</v>
      </c>
      <c r="BC269" s="55"/>
      <c r="BD269" s="55">
        <v>415667.98664415802</v>
      </c>
      <c r="BE269" s="55">
        <v>0</v>
      </c>
      <c r="BF269" s="55">
        <v>19804228.847171001</v>
      </c>
      <c r="BG269" s="55">
        <v>0</v>
      </c>
      <c r="BH269" s="55">
        <v>10282453.0611456</v>
      </c>
      <c r="BI269" s="55">
        <v>0</v>
      </c>
      <c r="BJ269" s="55">
        <v>4644897.5689717298</v>
      </c>
      <c r="BK269" s="63">
        <v>515205.799437746</v>
      </c>
      <c r="BL269" s="111">
        <v>992114.19871281297</v>
      </c>
      <c r="BM269" s="110">
        <f t="shared" si="75"/>
        <v>46546825.068590842</v>
      </c>
      <c r="BN269" s="55">
        <v>10832940.959798999</v>
      </c>
      <c r="BO269" s="55">
        <v>0</v>
      </c>
      <c r="BP269" s="55">
        <v>1549799.6</v>
      </c>
      <c r="BQ269" s="55">
        <v>0</v>
      </c>
      <c r="BR269" s="55">
        <v>0</v>
      </c>
      <c r="BS269" s="55"/>
      <c r="BT269" s="55">
        <v>415667.98664415802</v>
      </c>
      <c r="BU269" s="55">
        <v>0</v>
      </c>
      <c r="BV269" s="55">
        <v>13493182.9250254</v>
      </c>
      <c r="BW269" s="55">
        <v>0</v>
      </c>
      <c r="BX269" s="55">
        <v>14103016.029999999</v>
      </c>
      <c r="BY269" s="55">
        <v>0</v>
      </c>
      <c r="BZ269" s="55">
        <v>4644897.5689717298</v>
      </c>
      <c r="CA269" s="63">
        <v>515205.799437746</v>
      </c>
      <c r="CB269" s="64">
        <v>992114.19871281297</v>
      </c>
      <c r="CD269" s="3"/>
    </row>
    <row r="270" spans="1:84" x14ac:dyDescent="0.25">
      <c r="A270" s="105">
        <f t="shared" si="76"/>
        <v>251</v>
      </c>
      <c r="B270" s="106">
        <f t="shared" si="78"/>
        <v>63</v>
      </c>
      <c r="C270" s="107" t="s">
        <v>108</v>
      </c>
      <c r="D270" s="107" t="s">
        <v>147</v>
      </c>
      <c r="E270" s="54">
        <v>1970</v>
      </c>
      <c r="F270" s="54">
        <v>2013</v>
      </c>
      <c r="G270" s="54" t="s">
        <v>64</v>
      </c>
      <c r="H270" s="54">
        <v>5</v>
      </c>
      <c r="I270" s="54">
        <v>4</v>
      </c>
      <c r="J270" s="55">
        <v>3068</v>
      </c>
      <c r="K270" s="55">
        <v>2483.8000000000002</v>
      </c>
      <c r="L270" s="55">
        <v>584.20000000000005</v>
      </c>
      <c r="M270" s="56">
        <v>142</v>
      </c>
      <c r="N270" s="108">
        <f t="shared" si="72"/>
        <v>5694794.8653653199</v>
      </c>
      <c r="O270" s="63"/>
      <c r="P270" s="63">
        <v>3218407.59</v>
      </c>
      <c r="Q270" s="63"/>
      <c r="R270" s="63">
        <v>318641.84999999998</v>
      </c>
      <c r="S270" s="63">
        <v>2157745.4253653199</v>
      </c>
      <c r="T270" s="63"/>
      <c r="U270" s="63">
        <v>4744.8332253472399</v>
      </c>
      <c r="V270" s="63">
        <v>4744.8332253472399</v>
      </c>
      <c r="W270" s="109">
        <v>2023</v>
      </c>
      <c r="X270" s="6" t="e">
        <v>#REF!</v>
      </c>
      <c r="Z270" s="62">
        <f t="shared" si="79"/>
        <v>25875618.41</v>
      </c>
      <c r="AA270" s="55">
        <v>5945419.54417866</v>
      </c>
      <c r="AB270" s="55">
        <v>2118597.4078747798</v>
      </c>
      <c r="AC270" s="55">
        <v>2213462.8846331402</v>
      </c>
      <c r="AD270" s="55">
        <v>1385767.7235401999</v>
      </c>
      <c r="AE270" s="55">
        <v>0</v>
      </c>
      <c r="AF270" s="55"/>
      <c r="AG270" s="55">
        <v>228142.02967667999</v>
      </c>
      <c r="AH270" s="55">
        <v>0</v>
      </c>
      <c r="AI270" s="55">
        <v>10869131.540912401</v>
      </c>
      <c r="AJ270" s="55">
        <v>0</v>
      </c>
      <c r="AK270" s="55">
        <v>0</v>
      </c>
      <c r="AL270" s="55">
        <v>0</v>
      </c>
      <c r="AM270" s="55">
        <v>2358614.5957999998</v>
      </c>
      <c r="AN270" s="63">
        <v>258756.18410000001</v>
      </c>
      <c r="AO270" s="64">
        <v>497726.49928414001</v>
      </c>
      <c r="AP270" s="61">
        <f>+N270-'Приложение №2'!E270</f>
        <v>0</v>
      </c>
      <c r="AQ270" s="6">
        <f>504168.77-R89</f>
        <v>365922.02463468001</v>
      </c>
      <c r="AR270" s="3">
        <f>+(K270*10+L270*20)*12*0.85</f>
        <v>372524.39999999997</v>
      </c>
      <c r="AS270" s="3">
        <f>+(K270*10+L270*20)*12*30-S89</f>
        <v>12090910.84</v>
      </c>
      <c r="AT270" s="6">
        <f t="shared" si="73"/>
        <v>-9933165.4146346804</v>
      </c>
      <c r="AU270" s="6" t="e">
        <v>#REF!</v>
      </c>
      <c r="AV270" s="6" t="e">
        <v>#REF!</v>
      </c>
      <c r="AW270" s="62">
        <f t="shared" si="74"/>
        <v>14557148.33536532</v>
      </c>
      <c r="AX270" s="55">
        <v>6546503.21</v>
      </c>
      <c r="AY270" s="55">
        <v>2315850.2599999998</v>
      </c>
      <c r="AZ270" s="55"/>
      <c r="BA270" s="55"/>
      <c r="BB270" s="55"/>
      <c r="BC270" s="55"/>
      <c r="BD270" s="55"/>
      <c r="BE270" s="55"/>
      <c r="BF270" s="55">
        <v>5556548.1200000001</v>
      </c>
      <c r="BG270" s="55">
        <v>0</v>
      </c>
      <c r="BH270" s="55">
        <v>0</v>
      </c>
      <c r="BI270" s="55">
        <v>0</v>
      </c>
      <c r="BJ270" s="55"/>
      <c r="BK270" s="63"/>
      <c r="BL270" s="111">
        <v>138246.74536532001</v>
      </c>
      <c r="BM270" s="62">
        <f t="shared" si="75"/>
        <v>14557148.33536532</v>
      </c>
      <c r="BN270" s="55">
        <v>6546503.21</v>
      </c>
      <c r="BO270" s="55">
        <v>2315850.2599999998</v>
      </c>
      <c r="BP270" s="55"/>
      <c r="BQ270" s="55"/>
      <c r="BR270" s="55"/>
      <c r="BS270" s="55"/>
      <c r="BT270" s="55"/>
      <c r="BU270" s="55"/>
      <c r="BV270" s="55">
        <v>5556548.1200000001</v>
      </c>
      <c r="BW270" s="55">
        <v>0</v>
      </c>
      <c r="BX270" s="55">
        <v>0</v>
      </c>
      <c r="BY270" s="55">
        <v>0</v>
      </c>
      <c r="BZ270" s="55"/>
      <c r="CA270" s="63"/>
      <c r="CB270" s="64">
        <v>138246.74536532001</v>
      </c>
      <c r="CD270" s="130"/>
      <c r="CE270" s="6"/>
    </row>
    <row r="271" spans="1:84" x14ac:dyDescent="0.25">
      <c r="A271" s="105">
        <f t="shared" si="76"/>
        <v>252</v>
      </c>
      <c r="B271" s="106">
        <f t="shared" si="78"/>
        <v>64</v>
      </c>
      <c r="C271" s="53" t="s">
        <v>108</v>
      </c>
      <c r="D271" s="53" t="s">
        <v>349</v>
      </c>
      <c r="E271" s="54">
        <v>1987</v>
      </c>
      <c r="F271" s="54">
        <v>2013</v>
      </c>
      <c r="G271" s="54" t="s">
        <v>64</v>
      </c>
      <c r="H271" s="54">
        <v>5</v>
      </c>
      <c r="I271" s="54">
        <v>6</v>
      </c>
      <c r="J271" s="55">
        <v>6859.9</v>
      </c>
      <c r="K271" s="55">
        <v>6097.04</v>
      </c>
      <c r="L271" s="55">
        <v>117.7</v>
      </c>
      <c r="M271" s="56">
        <v>283</v>
      </c>
      <c r="N271" s="112">
        <f t="shared" si="72"/>
        <v>17456477.050000001</v>
      </c>
      <c r="O271" s="55"/>
      <c r="P271" s="63"/>
      <c r="Q271" s="63"/>
      <c r="R271" s="63">
        <v>7102572.9400000004</v>
      </c>
      <c r="S271" s="63">
        <v>10353904.109999999</v>
      </c>
      <c r="T271" s="63"/>
      <c r="U271" s="55">
        <v>2792.6544573063402</v>
      </c>
      <c r="V271" s="55">
        <v>2792.6544573063402</v>
      </c>
      <c r="W271" s="109">
        <v>2023</v>
      </c>
      <c r="X271" s="6" t="e">
        <v>#REF!</v>
      </c>
      <c r="Z271" s="62">
        <f t="shared" si="79"/>
        <v>34989133.450000033</v>
      </c>
      <c r="AA271" s="55">
        <v>10381481.9758432</v>
      </c>
      <c r="AB271" s="55">
        <v>6003894.8349029999</v>
      </c>
      <c r="AC271" s="55">
        <v>6346561.3828171799</v>
      </c>
      <c r="AD271" s="55">
        <v>4839307.0097500803</v>
      </c>
      <c r="AE271" s="55">
        <v>1933204.08466836</v>
      </c>
      <c r="AF271" s="55"/>
      <c r="AG271" s="55">
        <v>515853.10536480002</v>
      </c>
      <c r="AH271" s="55">
        <v>0</v>
      </c>
      <c r="AI271" s="55">
        <v>0</v>
      </c>
      <c r="AJ271" s="55">
        <v>0</v>
      </c>
      <c r="AK271" s="55">
        <v>0</v>
      </c>
      <c r="AL271" s="55">
        <v>0</v>
      </c>
      <c r="AM271" s="55">
        <v>3962456.5101999999</v>
      </c>
      <c r="AN271" s="63">
        <v>349891.3345</v>
      </c>
      <c r="AO271" s="64">
        <v>656483.21195341996</v>
      </c>
      <c r="AP271" s="61">
        <f>+N271-'Приложение №2'!E271</f>
        <v>0</v>
      </c>
      <c r="AQ271" s="73">
        <v>3444629.27</v>
      </c>
      <c r="AR271" s="3">
        <f>+(K271*10+L271*20)*12*0.85</f>
        <v>645908.88</v>
      </c>
      <c r="AS271" s="3">
        <f>+(K271*10+L271*20)*12*30</f>
        <v>22796784</v>
      </c>
      <c r="AT271" s="6">
        <f t="shared" si="73"/>
        <v>-12442879.890000001</v>
      </c>
      <c r="AU271" s="6"/>
      <c r="AV271" s="6"/>
      <c r="AW271" s="62">
        <f t="shared" si="74"/>
        <v>22137159.737415999</v>
      </c>
      <c r="AX271" s="55">
        <v>8773415.9399999995</v>
      </c>
      <c r="AY271" s="55"/>
      <c r="AZ271" s="55">
        <v>7093798.1322179995</v>
      </c>
      <c r="BA271" s="55">
        <v>5581283.073198</v>
      </c>
      <c r="BB271" s="55"/>
      <c r="BC271" s="55"/>
      <c r="BD271" s="55"/>
      <c r="BE271" s="55"/>
      <c r="BF271" s="55"/>
      <c r="BG271" s="55"/>
      <c r="BH271" s="55"/>
      <c r="BI271" s="55"/>
      <c r="BJ271" s="55">
        <v>128556.376</v>
      </c>
      <c r="BK271" s="63">
        <v>23378.916000000001</v>
      </c>
      <c r="BL271" s="111">
        <v>536727.30000000005</v>
      </c>
      <c r="BM271" s="62">
        <f t="shared" si="75"/>
        <v>17467234.881999999</v>
      </c>
      <c r="BN271" s="55">
        <v>8885029.4600000009</v>
      </c>
      <c r="BO271" s="55"/>
      <c r="BP271" s="55">
        <v>3892363.59</v>
      </c>
      <c r="BQ271" s="55">
        <v>4001179.24</v>
      </c>
      <c r="BR271" s="55"/>
      <c r="BS271" s="55"/>
      <c r="BT271" s="55"/>
      <c r="BU271" s="55"/>
      <c r="BV271" s="55"/>
      <c r="BW271" s="55"/>
      <c r="BX271" s="55"/>
      <c r="BY271" s="55"/>
      <c r="BZ271" s="55">
        <v>128556.376</v>
      </c>
      <c r="CA271" s="63">
        <v>23378.916000000001</v>
      </c>
      <c r="CB271" s="64">
        <v>536727.30000000005</v>
      </c>
      <c r="CD271" s="130"/>
      <c r="CE271" s="117"/>
      <c r="CF271" s="117"/>
    </row>
    <row r="272" spans="1:84" ht="16.5" x14ac:dyDescent="0.25">
      <c r="A272" s="105">
        <f t="shared" si="76"/>
        <v>253</v>
      </c>
      <c r="B272" s="106">
        <f t="shared" si="78"/>
        <v>65</v>
      </c>
      <c r="C272" s="107" t="s">
        <v>108</v>
      </c>
      <c r="D272" s="107" t="s">
        <v>350</v>
      </c>
      <c r="E272" s="54">
        <v>1972</v>
      </c>
      <c r="F272" s="54">
        <v>2013</v>
      </c>
      <c r="G272" s="54" t="s">
        <v>64</v>
      </c>
      <c r="H272" s="54">
        <v>4</v>
      </c>
      <c r="I272" s="54">
        <v>4</v>
      </c>
      <c r="J272" s="55">
        <v>3047.8</v>
      </c>
      <c r="K272" s="55">
        <v>2789.4</v>
      </c>
      <c r="L272" s="55">
        <v>0</v>
      </c>
      <c r="M272" s="56">
        <v>107</v>
      </c>
      <c r="N272" s="108">
        <f t="shared" ref="N272:N303" si="80">+P272+Q272+R272+S272+T272</f>
        <v>17417470.407950558</v>
      </c>
      <c r="O272" s="63"/>
      <c r="P272" s="63">
        <v>1630754.51546667</v>
      </c>
      <c r="Q272" s="63"/>
      <c r="R272" s="63">
        <v>823386.06359999999</v>
      </c>
      <c r="S272" s="63">
        <v>1213116.0688838901</v>
      </c>
      <c r="T272" s="63">
        <v>13750213.76</v>
      </c>
      <c r="U272" s="55">
        <v>7373.2783008338101</v>
      </c>
      <c r="V272" s="55">
        <v>7373.2783008338101</v>
      </c>
      <c r="W272" s="109">
        <v>2023</v>
      </c>
      <c r="X272" s="6"/>
      <c r="Z272" s="62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  <c r="AL272" s="55"/>
      <c r="AM272" s="55"/>
      <c r="AN272" s="55"/>
      <c r="AO272" s="64"/>
      <c r="AP272" s="61">
        <f>+N272-'Приложение №2'!E272</f>
        <v>0</v>
      </c>
      <c r="AQ272" s="1">
        <f>1184908.35-361522.2864</f>
        <v>823386.06360000011</v>
      </c>
      <c r="AT272" s="6">
        <f t="shared" ref="AT272:AT303" si="81">+S272-AS272</f>
        <v>1213116.0688838901</v>
      </c>
      <c r="AU272" s="6" t="e">
        <v>#REF!</v>
      </c>
      <c r="AV272" s="6" t="e">
        <v>#REF!</v>
      </c>
      <c r="AW272" s="62">
        <f t="shared" ref="AW272:AW303" si="82">SUBTOTAL(9, AX272:BL272)</f>
        <v>20567022.49234584</v>
      </c>
      <c r="AX272" s="55"/>
      <c r="AY272" s="55"/>
      <c r="AZ272" s="55"/>
      <c r="BA272" s="55"/>
      <c r="BB272" s="55"/>
      <c r="BC272" s="55"/>
      <c r="BD272" s="55">
        <v>0</v>
      </c>
      <c r="BE272" s="55">
        <v>0</v>
      </c>
      <c r="BF272" s="55">
        <v>12209113.6236846</v>
      </c>
      <c r="BG272" s="55">
        <v>0</v>
      </c>
      <c r="BH272" s="55"/>
      <c r="BI272" s="55">
        <v>6818312.13071068</v>
      </c>
      <c r="BJ272" s="55">
        <v>684163.08</v>
      </c>
      <c r="BK272" s="55"/>
      <c r="BL272" s="111">
        <v>855433.65795056196</v>
      </c>
      <c r="BM272" s="62">
        <f t="shared" ref="BM272:BM303" si="83">SUBTOTAL(9, BN272:CB272)</f>
        <v>20567022.49234584</v>
      </c>
      <c r="BN272" s="55"/>
      <c r="BO272" s="55"/>
      <c r="BP272" s="55"/>
      <c r="BQ272" s="55"/>
      <c r="BR272" s="55"/>
      <c r="BS272" s="55"/>
      <c r="BT272" s="55">
        <v>0</v>
      </c>
      <c r="BU272" s="55">
        <v>0</v>
      </c>
      <c r="BV272" s="55">
        <v>12209113.6236846</v>
      </c>
      <c r="BW272" s="55">
        <v>0</v>
      </c>
      <c r="BX272" s="55"/>
      <c r="BY272" s="55">
        <v>6818312.13071068</v>
      </c>
      <c r="BZ272" s="55">
        <v>684163.08</v>
      </c>
      <c r="CA272" s="55"/>
      <c r="CB272" s="64">
        <v>855433.65795056196</v>
      </c>
      <c r="CD272" s="126"/>
      <c r="CE272" s="117"/>
      <c r="CF272" s="117"/>
    </row>
    <row r="273" spans="1:86" ht="16.5" x14ac:dyDescent="0.25">
      <c r="A273" s="105">
        <f t="shared" si="76"/>
        <v>254</v>
      </c>
      <c r="B273" s="106">
        <f t="shared" si="78"/>
        <v>66</v>
      </c>
      <c r="C273" s="107" t="s">
        <v>108</v>
      </c>
      <c r="D273" s="107" t="s">
        <v>351</v>
      </c>
      <c r="E273" s="54">
        <v>1974</v>
      </c>
      <c r="F273" s="54">
        <v>2013</v>
      </c>
      <c r="G273" s="54" t="s">
        <v>64</v>
      </c>
      <c r="H273" s="54">
        <v>4</v>
      </c>
      <c r="I273" s="54">
        <v>4</v>
      </c>
      <c r="J273" s="55">
        <v>2989.2</v>
      </c>
      <c r="K273" s="55">
        <v>2536.9</v>
      </c>
      <c r="L273" s="55">
        <v>230.9</v>
      </c>
      <c r="M273" s="56">
        <v>90</v>
      </c>
      <c r="N273" s="108">
        <f t="shared" si="80"/>
        <v>17197808.294846922</v>
      </c>
      <c r="O273" s="63"/>
      <c r="P273" s="63">
        <f>3239609.19+4955044.69+545300.86</f>
        <v>8739954.7400000002</v>
      </c>
      <c r="Q273" s="63"/>
      <c r="R273" s="63">
        <v>177663.02</v>
      </c>
      <c r="S273" s="63">
        <v>967205.52484692098</v>
      </c>
      <c r="T273" s="63">
        <v>7312985.0099999998</v>
      </c>
      <c r="U273" s="55">
        <v>7160.1408428928698</v>
      </c>
      <c r="V273" s="55">
        <v>7160.1408428928698</v>
      </c>
      <c r="W273" s="109">
        <v>2023</v>
      </c>
      <c r="X273" s="6"/>
      <c r="Z273" s="62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5"/>
      <c r="AN273" s="55"/>
      <c r="AO273" s="64"/>
      <c r="AP273" s="61">
        <f>+N273-'Приложение №2'!E273</f>
        <v>0</v>
      </c>
      <c r="AQ273" s="1">
        <f>1292399.14-848241.5751</f>
        <v>444157.56489999988</v>
      </c>
      <c r="AT273" s="6">
        <f t="shared" si="81"/>
        <v>967205.52484692098</v>
      </c>
      <c r="AU273" s="6" t="e">
        <v>#REF!</v>
      </c>
      <c r="AV273" s="6" t="e">
        <v>#REF!</v>
      </c>
      <c r="AW273" s="62">
        <f t="shared" si="82"/>
        <v>19823053.824958891</v>
      </c>
      <c r="AX273" s="55"/>
      <c r="AY273" s="55"/>
      <c r="AZ273" s="55"/>
      <c r="BA273" s="55"/>
      <c r="BB273" s="55"/>
      <c r="BC273" s="55"/>
      <c r="BD273" s="55">
        <v>0</v>
      </c>
      <c r="BE273" s="55">
        <v>0</v>
      </c>
      <c r="BF273" s="55">
        <v>12089519.1280836</v>
      </c>
      <c r="BG273" s="55">
        <v>0</v>
      </c>
      <c r="BH273" s="55"/>
      <c r="BI273" s="55">
        <v>6201109.93202837</v>
      </c>
      <c r="BJ273" s="55">
        <v>684163.08</v>
      </c>
      <c r="BK273" s="55"/>
      <c r="BL273" s="111">
        <v>848261.68484692299</v>
      </c>
      <c r="BM273" s="62">
        <f t="shared" si="83"/>
        <v>19817837.824958891</v>
      </c>
      <c r="BN273" s="55"/>
      <c r="BO273" s="55"/>
      <c r="BP273" s="55"/>
      <c r="BQ273" s="55"/>
      <c r="BR273" s="55"/>
      <c r="BS273" s="55"/>
      <c r="BT273" s="55">
        <v>0</v>
      </c>
      <c r="BU273" s="55">
        <v>0</v>
      </c>
      <c r="BV273" s="55">
        <v>12089519.1280836</v>
      </c>
      <c r="BW273" s="55">
        <v>0</v>
      </c>
      <c r="BX273" s="55"/>
      <c r="BY273" s="55">
        <v>6201109.93202837</v>
      </c>
      <c r="BZ273" s="55">
        <v>678947.08</v>
      </c>
      <c r="CA273" s="55"/>
      <c r="CB273" s="64">
        <v>848261.68484692299</v>
      </c>
      <c r="CD273" s="133"/>
      <c r="CE273" s="117"/>
      <c r="CF273" s="134"/>
      <c r="CG273" s="3"/>
    </row>
    <row r="274" spans="1:86" x14ac:dyDescent="0.25">
      <c r="A274" s="105">
        <f t="shared" si="76"/>
        <v>255</v>
      </c>
      <c r="B274" s="106">
        <f t="shared" si="78"/>
        <v>67</v>
      </c>
      <c r="C274" s="53" t="s">
        <v>108</v>
      </c>
      <c r="D274" s="53" t="s">
        <v>352</v>
      </c>
      <c r="E274" s="54">
        <v>1973</v>
      </c>
      <c r="F274" s="54">
        <v>2013</v>
      </c>
      <c r="G274" s="54" t="s">
        <v>64</v>
      </c>
      <c r="H274" s="54">
        <v>4</v>
      </c>
      <c r="I274" s="54">
        <v>4</v>
      </c>
      <c r="J274" s="55">
        <v>3935.6</v>
      </c>
      <c r="K274" s="55">
        <v>3459.2</v>
      </c>
      <c r="L274" s="55">
        <v>0</v>
      </c>
      <c r="M274" s="56">
        <v>162</v>
      </c>
      <c r="N274" s="112">
        <f t="shared" si="80"/>
        <v>6942751.8404994011</v>
      </c>
      <c r="O274" s="55"/>
      <c r="P274" s="63"/>
      <c r="Q274" s="63"/>
      <c r="R274" s="63">
        <v>2620703.4300000002</v>
      </c>
      <c r="S274" s="63">
        <v>4322048.4104994005</v>
      </c>
      <c r="T274" s="63">
        <v>0</v>
      </c>
      <c r="U274" s="63">
        <v>3026.5554957793702</v>
      </c>
      <c r="V274" s="63">
        <v>1291.2830200640001</v>
      </c>
      <c r="W274" s="109">
        <v>2023</v>
      </c>
      <c r="X274" s="6" t="e">
        <v>#REF!</v>
      </c>
      <c r="Z274" s="62">
        <f>SUM(AA274:AO274)</f>
        <v>11632734.189999999</v>
      </c>
      <c r="AA274" s="55">
        <v>0</v>
      </c>
      <c r="AB274" s="55">
        <v>0</v>
      </c>
      <c r="AC274" s="55">
        <v>0</v>
      </c>
      <c r="AD274" s="55">
        <v>0</v>
      </c>
      <c r="AE274" s="55">
        <v>0</v>
      </c>
      <c r="AF274" s="55"/>
      <c r="AG274" s="55">
        <v>0</v>
      </c>
      <c r="AH274" s="55">
        <v>0</v>
      </c>
      <c r="AI274" s="55">
        <v>10245414.310500599</v>
      </c>
      <c r="AJ274" s="55">
        <v>0</v>
      </c>
      <c r="AK274" s="55">
        <v>0</v>
      </c>
      <c r="AL274" s="55">
        <v>0</v>
      </c>
      <c r="AM274" s="55">
        <v>1046946.0771</v>
      </c>
      <c r="AN274" s="63">
        <v>116327.3419</v>
      </c>
      <c r="AO274" s="64">
        <v>224046.46049940001</v>
      </c>
      <c r="AP274" s="61" t="e">
        <f>+N274-#REF!</f>
        <v>#REF!</v>
      </c>
      <c r="AQ274" s="65">
        <v>2093115.17</v>
      </c>
      <c r="AR274" s="3">
        <f>+(K274*10.5+L274*21)*12*0.85</f>
        <v>370480.31999999995</v>
      </c>
      <c r="AS274" s="3">
        <f>+(K274*10.5+L274*21)*12*30</f>
        <v>13075775.999999998</v>
      </c>
      <c r="AT274" s="6">
        <f t="shared" si="81"/>
        <v>-8753727.5895005986</v>
      </c>
      <c r="AU274" s="6" t="e">
        <v>#REF!</v>
      </c>
      <c r="AV274" s="6" t="e">
        <v>#REF!</v>
      </c>
      <c r="AW274" s="110">
        <f t="shared" si="82"/>
        <v>10469460.771</v>
      </c>
      <c r="AX274" s="55">
        <v>0</v>
      </c>
      <c r="AY274" s="55">
        <v>0</v>
      </c>
      <c r="AZ274" s="55">
        <v>0</v>
      </c>
      <c r="BA274" s="55">
        <v>0</v>
      </c>
      <c r="BB274" s="55">
        <v>0</v>
      </c>
      <c r="BC274" s="55"/>
      <c r="BD274" s="55"/>
      <c r="BE274" s="55">
        <v>0</v>
      </c>
      <c r="BF274" s="55">
        <v>10245414.310500599</v>
      </c>
      <c r="BG274" s="55">
        <v>0</v>
      </c>
      <c r="BH274" s="55">
        <v>0</v>
      </c>
      <c r="BI274" s="55">
        <v>0</v>
      </c>
      <c r="BJ274" s="55"/>
      <c r="BK274" s="63"/>
      <c r="BL274" s="64">
        <v>224046.46049940001</v>
      </c>
      <c r="BM274" s="110">
        <f t="shared" si="83"/>
        <v>10469460.771</v>
      </c>
      <c r="BN274" s="55">
        <v>0</v>
      </c>
      <c r="BO274" s="55">
        <v>0</v>
      </c>
      <c r="BP274" s="55">
        <v>0</v>
      </c>
      <c r="BQ274" s="55">
        <v>0</v>
      </c>
      <c r="BR274" s="55">
        <v>0</v>
      </c>
      <c r="BS274" s="55"/>
      <c r="BT274" s="55"/>
      <c r="BU274" s="55">
        <v>0</v>
      </c>
      <c r="BV274" s="55">
        <v>10245414.310500599</v>
      </c>
      <c r="BW274" s="55">
        <v>0</v>
      </c>
      <c r="BX274" s="55">
        <v>0</v>
      </c>
      <c r="BY274" s="55">
        <v>0</v>
      </c>
      <c r="BZ274" s="55"/>
      <c r="CA274" s="63"/>
      <c r="CB274" s="64">
        <v>224046.46049940001</v>
      </c>
    </row>
    <row r="275" spans="1:86" s="69" customFormat="1" ht="16.5" x14ac:dyDescent="0.25">
      <c r="A275" s="105">
        <f t="shared" ref="A275:A306" si="84">+A274+1</f>
        <v>256</v>
      </c>
      <c r="B275" s="106">
        <f t="shared" si="78"/>
        <v>68</v>
      </c>
      <c r="C275" s="53" t="s">
        <v>108</v>
      </c>
      <c r="D275" s="53" t="s">
        <v>353</v>
      </c>
      <c r="E275" s="54" t="s">
        <v>338</v>
      </c>
      <c r="F275" s="54"/>
      <c r="G275" s="54" t="s">
        <v>64</v>
      </c>
      <c r="H275" s="54" t="s">
        <v>184</v>
      </c>
      <c r="I275" s="54" t="s">
        <v>184</v>
      </c>
      <c r="J275" s="55">
        <v>4032.8</v>
      </c>
      <c r="K275" s="55">
        <v>3458.5</v>
      </c>
      <c r="L275" s="55">
        <v>0</v>
      </c>
      <c r="M275" s="56">
        <v>156</v>
      </c>
      <c r="N275" s="112">
        <f t="shared" si="80"/>
        <v>6576042.7964744708</v>
      </c>
      <c r="O275" s="55">
        <v>0</v>
      </c>
      <c r="P275" s="63"/>
      <c r="Q275" s="63">
        <v>0</v>
      </c>
      <c r="R275" s="63">
        <v>191247.61</v>
      </c>
      <c r="S275" s="63">
        <v>6384795.1864744704</v>
      </c>
      <c r="T275" s="63"/>
      <c r="U275" s="55">
        <v>14851.7595489707</v>
      </c>
      <c r="V275" s="55">
        <v>14851.7595489707</v>
      </c>
      <c r="W275" s="109">
        <v>2023</v>
      </c>
      <c r="X275" s="69">
        <v>1316311.58</v>
      </c>
      <c r="Y275" s="69">
        <f>+(K275*9.1+L275*18.19)*12</f>
        <v>377668.19999999995</v>
      </c>
      <c r="AA275" s="70" t="e">
        <v>#REF!</v>
      </c>
      <c r="AD275" s="70" t="e">
        <v>#REF!</v>
      </c>
      <c r="AP275" s="61">
        <f>+N275-'Приложение №2'!E275</f>
        <v>0</v>
      </c>
      <c r="AQ275" s="69">
        <v>1622977.77</v>
      </c>
      <c r="AR275" s="3">
        <f t="shared" ref="AR275:AR280" si="85">+(K275*10+L275*20)*12*0.85</f>
        <v>352767</v>
      </c>
      <c r="AS275" s="3">
        <f>+(K275*10+L275*20)*12*30</f>
        <v>12450600</v>
      </c>
      <c r="AT275" s="6">
        <f t="shared" si="81"/>
        <v>-6065804.8135255296</v>
      </c>
      <c r="AU275" s="6" t="e">
        <v>#REF!</v>
      </c>
      <c r="AV275" s="6" t="e">
        <f>+Q275-#REF!</f>
        <v>#REF!</v>
      </c>
      <c r="AW275" s="62">
        <f t="shared" si="82"/>
        <v>51364810.400115304</v>
      </c>
      <c r="AX275" s="55">
        <v>6144729.9015154103</v>
      </c>
      <c r="AY275" s="55">
        <v>3579457.7618007301</v>
      </c>
      <c r="AZ275" s="55">
        <v>3887139.10374681</v>
      </c>
      <c r="BA275" s="55">
        <v>2975701.9584087301</v>
      </c>
      <c r="BB275" s="55">
        <v>1375468.2230831799</v>
      </c>
      <c r="BC275" s="55"/>
      <c r="BD275" s="55">
        <v>292698.95808608597</v>
      </c>
      <c r="BE275" s="55"/>
      <c r="BF275" s="55"/>
      <c r="BG275" s="55"/>
      <c r="BH275" s="55">
        <v>22115449.1287481</v>
      </c>
      <c r="BI275" s="55">
        <v>8607388.0582517795</v>
      </c>
      <c r="BJ275" s="55">
        <v>1315726.92</v>
      </c>
      <c r="BK275" s="63"/>
      <c r="BL275" s="111">
        <v>1071050.3864744699</v>
      </c>
      <c r="BM275" s="62">
        <f t="shared" si="83"/>
        <v>51364810.400115304</v>
      </c>
      <c r="BN275" s="55">
        <v>6144729.9015154103</v>
      </c>
      <c r="BO275" s="55">
        <v>3579457.7618007301</v>
      </c>
      <c r="BP275" s="55">
        <v>3887139.10374681</v>
      </c>
      <c r="BQ275" s="55">
        <v>2975701.9584087301</v>
      </c>
      <c r="BR275" s="55">
        <v>1375468.2230831799</v>
      </c>
      <c r="BS275" s="55"/>
      <c r="BT275" s="55">
        <v>292698.95808608597</v>
      </c>
      <c r="BU275" s="55"/>
      <c r="BV275" s="55"/>
      <c r="BW275" s="55"/>
      <c r="BX275" s="55">
        <v>22115449.1287481</v>
      </c>
      <c r="BY275" s="55">
        <v>8607388.0582517795</v>
      </c>
      <c r="BZ275" s="55">
        <v>1315726.92</v>
      </c>
      <c r="CA275" s="63"/>
      <c r="CB275" s="64">
        <v>1071050.3864744699</v>
      </c>
      <c r="CD275" s="70"/>
      <c r="CE275" s="70"/>
      <c r="CF275" s="126"/>
    </row>
    <row r="276" spans="1:86" ht="15.75" customHeight="1" x14ac:dyDescent="0.25">
      <c r="A276" s="105">
        <f t="shared" si="84"/>
        <v>257</v>
      </c>
      <c r="B276" s="106">
        <f t="shared" si="78"/>
        <v>69</v>
      </c>
      <c r="C276" s="107" t="s">
        <v>108</v>
      </c>
      <c r="D276" s="107" t="s">
        <v>354</v>
      </c>
      <c r="E276" s="54">
        <v>1974</v>
      </c>
      <c r="F276" s="54">
        <v>2013</v>
      </c>
      <c r="G276" s="54" t="s">
        <v>64</v>
      </c>
      <c r="H276" s="54">
        <v>4</v>
      </c>
      <c r="I276" s="54">
        <v>8</v>
      </c>
      <c r="J276" s="55">
        <v>5449.8</v>
      </c>
      <c r="K276" s="55">
        <v>4938.7</v>
      </c>
      <c r="L276" s="55">
        <v>0</v>
      </c>
      <c r="M276" s="56">
        <v>207</v>
      </c>
      <c r="N276" s="108">
        <f t="shared" si="80"/>
        <v>46764055.196824096</v>
      </c>
      <c r="O276" s="63"/>
      <c r="P276" s="63">
        <v>18759621.039999999</v>
      </c>
      <c r="Q276" s="63"/>
      <c r="R276" s="63">
        <v>2556985.4300000002</v>
      </c>
      <c r="S276" s="63">
        <v>19403234.486824099</v>
      </c>
      <c r="T276" s="63">
        <v>6044214.2400000002</v>
      </c>
      <c r="U276" s="55">
        <v>20793.321266662599</v>
      </c>
      <c r="V276" s="55">
        <v>20793.321266662599</v>
      </c>
      <c r="W276" s="109">
        <v>2023</v>
      </c>
      <c r="X276" s="6" t="e">
        <v>#REF!</v>
      </c>
      <c r="Z276" s="62">
        <f t="shared" ref="Z276:Z281" si="86">SUM(AA276:AO276)</f>
        <v>29390081.470000003</v>
      </c>
      <c r="AA276" s="55">
        <v>11814199.4679345</v>
      </c>
      <c r="AB276" s="55">
        <v>4209884.9643870601</v>
      </c>
      <c r="AC276" s="55">
        <v>4398393.0636496199</v>
      </c>
      <c r="AD276" s="55">
        <v>2753672.1595983598</v>
      </c>
      <c r="AE276" s="55">
        <v>1684797.14385486</v>
      </c>
      <c r="AF276" s="55"/>
      <c r="AG276" s="55">
        <v>453343.1808108</v>
      </c>
      <c r="AH276" s="55">
        <v>0</v>
      </c>
      <c r="AI276" s="55">
        <v>0</v>
      </c>
      <c r="AJ276" s="55">
        <v>0</v>
      </c>
      <c r="AK276" s="55">
        <v>0</v>
      </c>
      <c r="AL276" s="55">
        <v>0</v>
      </c>
      <c r="AM276" s="55">
        <v>3228318.4232999999</v>
      </c>
      <c r="AN276" s="63">
        <v>293900.81469999999</v>
      </c>
      <c r="AO276" s="64">
        <v>553572.25176480005</v>
      </c>
      <c r="AP276" s="61">
        <f>+N276-'Приложение №2'!E276</f>
        <v>0</v>
      </c>
      <c r="AQ276" s="1">
        <v>2310610.73</v>
      </c>
      <c r="AR276" s="3">
        <f t="shared" si="85"/>
        <v>503747.39999999997</v>
      </c>
      <c r="AS276" s="3">
        <f>+(K276*10+L276*20)*12*30</f>
        <v>17779320</v>
      </c>
      <c r="AT276" s="6">
        <f t="shared" si="81"/>
        <v>1623914.486824099</v>
      </c>
      <c r="AU276" s="6" t="e">
        <v>#REF!</v>
      </c>
      <c r="AV276" s="6" t="e">
        <v>#REF!</v>
      </c>
      <c r="AW276" s="62">
        <f t="shared" si="82"/>
        <v>76930682.445486799</v>
      </c>
      <c r="AX276" s="55">
        <v>12940969.379562</v>
      </c>
      <c r="AY276" s="55">
        <v>4683661.9785479996</v>
      </c>
      <c r="AZ276" s="55">
        <v>2990319.15</v>
      </c>
      <c r="BA276" s="55">
        <v>3967819.86</v>
      </c>
      <c r="BB276" s="55"/>
      <c r="BC276" s="55"/>
      <c r="BD276" s="55">
        <v>453343.1808108</v>
      </c>
      <c r="BE276" s="55">
        <v>0</v>
      </c>
      <c r="BF276" s="55">
        <v>23720691.238029301</v>
      </c>
      <c r="BG276" s="55">
        <v>0</v>
      </c>
      <c r="BH276" s="55">
        <v>12262218.115820101</v>
      </c>
      <c r="BI276" s="55">
        <v>13351798.375892499</v>
      </c>
      <c r="BJ276" s="55">
        <v>872137.55</v>
      </c>
      <c r="BK276" s="63"/>
      <c r="BL276" s="111">
        <v>1687723.6168241</v>
      </c>
      <c r="BM276" s="62">
        <f t="shared" si="83"/>
        <v>79931177.091637403</v>
      </c>
      <c r="BN276" s="55">
        <v>12940969.379562</v>
      </c>
      <c r="BO276" s="55">
        <v>4683661.9785479996</v>
      </c>
      <c r="BP276" s="55">
        <v>2990319.15</v>
      </c>
      <c r="BQ276" s="55">
        <v>3967819.86</v>
      </c>
      <c r="BR276" s="55"/>
      <c r="BS276" s="55"/>
      <c r="BT276" s="55">
        <v>453343.1808108</v>
      </c>
      <c r="BU276" s="55">
        <v>0</v>
      </c>
      <c r="BV276" s="55">
        <v>9797526</v>
      </c>
      <c r="BW276" s="55">
        <v>0</v>
      </c>
      <c r="BX276" s="55">
        <v>29185878</v>
      </c>
      <c r="BY276" s="55">
        <v>13351798.375892499</v>
      </c>
      <c r="BZ276" s="55">
        <v>872137.55</v>
      </c>
      <c r="CA276" s="63"/>
      <c r="CB276" s="64">
        <v>1687723.6168241</v>
      </c>
      <c r="CD276" s="126"/>
      <c r="CE276" s="3"/>
      <c r="CF276" s="133"/>
      <c r="CH276" s="133"/>
    </row>
    <row r="277" spans="1:86" x14ac:dyDescent="0.25">
      <c r="A277" s="105">
        <f t="shared" si="84"/>
        <v>258</v>
      </c>
      <c r="B277" s="106">
        <f t="shared" si="78"/>
        <v>70</v>
      </c>
      <c r="C277" s="107" t="s">
        <v>108</v>
      </c>
      <c r="D277" s="107" t="s">
        <v>355</v>
      </c>
      <c r="E277" s="54">
        <v>1976</v>
      </c>
      <c r="F277" s="54">
        <v>2013</v>
      </c>
      <c r="G277" s="54" t="s">
        <v>64</v>
      </c>
      <c r="H277" s="54">
        <v>5</v>
      </c>
      <c r="I277" s="54">
        <v>4</v>
      </c>
      <c r="J277" s="55">
        <v>3698.5</v>
      </c>
      <c r="K277" s="55">
        <v>3331.4</v>
      </c>
      <c r="L277" s="55">
        <v>142.19999999999999</v>
      </c>
      <c r="M277" s="56">
        <v>143</v>
      </c>
      <c r="N277" s="108">
        <f t="shared" si="80"/>
        <v>1394293.8779577501</v>
      </c>
      <c r="O277" s="63"/>
      <c r="P277" s="63">
        <v>225443.56</v>
      </c>
      <c r="Q277" s="63"/>
      <c r="R277" s="63">
        <v>92497.51</v>
      </c>
      <c r="S277" s="63">
        <v>1076352.80795775</v>
      </c>
      <c r="T277" s="63"/>
      <c r="U277" s="55">
        <v>401.39736237843999</v>
      </c>
      <c r="V277" s="55">
        <v>401.39736237843999</v>
      </c>
      <c r="W277" s="109">
        <v>2023</v>
      </c>
      <c r="X277" s="6" t="e">
        <v>#REF!</v>
      </c>
      <c r="Z277" s="62">
        <f t="shared" si="86"/>
        <v>31334841.419999998</v>
      </c>
      <c r="AA277" s="55">
        <v>8119979.0609737802</v>
      </c>
      <c r="AB277" s="55">
        <v>2893482.3597838199</v>
      </c>
      <c r="AC277" s="55">
        <v>0</v>
      </c>
      <c r="AD277" s="55">
        <v>0</v>
      </c>
      <c r="AE277" s="55">
        <v>1157972.4533361599</v>
      </c>
      <c r="AF277" s="55"/>
      <c r="AG277" s="55">
        <v>311585.82840083999</v>
      </c>
      <c r="AH277" s="55">
        <v>0</v>
      </c>
      <c r="AI277" s="55">
        <v>14844557.210124601</v>
      </c>
      <c r="AJ277" s="55">
        <v>0</v>
      </c>
      <c r="AK277" s="55">
        <v>0</v>
      </c>
      <c r="AL277" s="55">
        <v>0</v>
      </c>
      <c r="AM277" s="55">
        <v>3096317.3338000001</v>
      </c>
      <c r="AN277" s="63">
        <v>313348.4142</v>
      </c>
      <c r="AO277" s="64">
        <v>597598.75938079995</v>
      </c>
      <c r="AP277" s="61">
        <f>+N277-'Приложение №2'!E277</f>
        <v>0</v>
      </c>
      <c r="AQ277" s="1">
        <f>1714139.94-279174.44-139587.22</f>
        <v>1295378.28</v>
      </c>
      <c r="AR277" s="3">
        <f t="shared" si="85"/>
        <v>368811.6</v>
      </c>
      <c r="AS277" s="3">
        <f>+(K277*10+L277*20)*12*30-1573640.06</f>
        <v>11443239.939999999</v>
      </c>
      <c r="AT277" s="6">
        <f t="shared" si="81"/>
        <v>-10366887.13204225</v>
      </c>
      <c r="AU277" s="6" t="e">
        <v>#REF!</v>
      </c>
      <c r="AV277" s="6" t="e">
        <v>#REF!</v>
      </c>
      <c r="AW277" s="62">
        <f t="shared" si="82"/>
        <v>1394293.8779577501</v>
      </c>
      <c r="AX277" s="55"/>
      <c r="AY277" s="55"/>
      <c r="AZ277" s="55">
        <v>0</v>
      </c>
      <c r="BA277" s="55">
        <v>0</v>
      </c>
      <c r="BB277" s="55">
        <v>974673.41</v>
      </c>
      <c r="BC277" s="55"/>
      <c r="BD277" s="55"/>
      <c r="BE277" s="55">
        <v>0</v>
      </c>
      <c r="BF277" s="55"/>
      <c r="BG277" s="55">
        <v>0</v>
      </c>
      <c r="BH277" s="55">
        <v>0</v>
      </c>
      <c r="BI277" s="55">
        <v>0</v>
      </c>
      <c r="BJ277" s="55"/>
      <c r="BK277" s="63"/>
      <c r="BL277" s="111">
        <v>419620.46795775002</v>
      </c>
      <c r="BM277" s="62">
        <f t="shared" si="83"/>
        <v>1394293.8779577501</v>
      </c>
      <c r="BN277" s="55"/>
      <c r="BO277" s="55"/>
      <c r="BP277" s="55">
        <v>0</v>
      </c>
      <c r="BQ277" s="55">
        <v>0</v>
      </c>
      <c r="BR277" s="55">
        <v>974673.41</v>
      </c>
      <c r="BS277" s="55"/>
      <c r="BT277" s="55"/>
      <c r="BU277" s="55">
        <v>0</v>
      </c>
      <c r="BV277" s="55"/>
      <c r="BW277" s="55">
        <v>0</v>
      </c>
      <c r="BX277" s="55">
        <v>0</v>
      </c>
      <c r="BY277" s="55">
        <v>0</v>
      </c>
      <c r="BZ277" s="55"/>
      <c r="CA277" s="63"/>
      <c r="CB277" s="64">
        <v>419620.46795775002</v>
      </c>
      <c r="CD277" s="133"/>
      <c r="CE277" s="3"/>
    </row>
    <row r="278" spans="1:86" ht="16.5" x14ac:dyDescent="0.25">
      <c r="A278" s="105">
        <f t="shared" si="84"/>
        <v>259</v>
      </c>
      <c r="B278" s="106">
        <f t="shared" si="78"/>
        <v>71</v>
      </c>
      <c r="C278" s="53" t="s">
        <v>108</v>
      </c>
      <c r="D278" s="53" t="s">
        <v>356</v>
      </c>
      <c r="E278" s="54">
        <v>1983</v>
      </c>
      <c r="F278" s="54">
        <v>2013</v>
      </c>
      <c r="G278" s="54" t="s">
        <v>64</v>
      </c>
      <c r="H278" s="54">
        <v>4</v>
      </c>
      <c r="I278" s="54">
        <v>6</v>
      </c>
      <c r="J278" s="55">
        <v>5775.05</v>
      </c>
      <c r="K278" s="55">
        <v>5052.8500000000004</v>
      </c>
      <c r="L278" s="55">
        <v>0</v>
      </c>
      <c r="M278" s="56">
        <v>216</v>
      </c>
      <c r="N278" s="112">
        <f t="shared" si="80"/>
        <v>14147298.268474162</v>
      </c>
      <c r="O278" s="55"/>
      <c r="P278" s="63"/>
      <c r="Q278" s="63"/>
      <c r="R278" s="63">
        <v>2119027.7084741602</v>
      </c>
      <c r="S278" s="63">
        <v>12028270.560000001</v>
      </c>
      <c r="T278" s="63"/>
      <c r="U278" s="55">
        <v>3213.2386336333002</v>
      </c>
      <c r="V278" s="55">
        <v>3213.2386336333002</v>
      </c>
      <c r="W278" s="109">
        <v>2023</v>
      </c>
      <c r="X278" s="6" t="e">
        <v>#REF!</v>
      </c>
      <c r="Z278" s="62">
        <f t="shared" si="86"/>
        <v>28377467.889999997</v>
      </c>
      <c r="AA278" s="55">
        <v>8419761.85982568</v>
      </c>
      <c r="AB278" s="55">
        <v>4869378.4663003199</v>
      </c>
      <c r="AC278" s="55">
        <v>5147293.5732838204</v>
      </c>
      <c r="AD278" s="55">
        <v>3924855.112857</v>
      </c>
      <c r="AE278" s="55">
        <v>1567899.2698021799</v>
      </c>
      <c r="AF278" s="55"/>
      <c r="AG278" s="55">
        <v>418375.75401383999</v>
      </c>
      <c r="AH278" s="55">
        <v>0</v>
      </c>
      <c r="AI278" s="55">
        <v>0</v>
      </c>
      <c r="AJ278" s="55">
        <v>0</v>
      </c>
      <c r="AK278" s="55">
        <v>0</v>
      </c>
      <c r="AL278" s="55">
        <v>0</v>
      </c>
      <c r="AM278" s="55">
        <v>3213697.2617000001</v>
      </c>
      <c r="AN278" s="63">
        <v>283774.6789</v>
      </c>
      <c r="AO278" s="64">
        <v>532431.91331715998</v>
      </c>
      <c r="AP278" s="61">
        <f>+N278-'Приложение №2'!E278</f>
        <v>0</v>
      </c>
      <c r="AQ278" s="1">
        <f>2439039.01-114269.78</f>
        <v>2324769.23</v>
      </c>
      <c r="AR278" s="3">
        <f t="shared" si="85"/>
        <v>515390.7</v>
      </c>
      <c r="AS278" s="3">
        <f>+(K278*10+L278*20)*12*30</f>
        <v>18190260</v>
      </c>
      <c r="AT278" s="6">
        <f t="shared" si="81"/>
        <v>-6161989.4399999995</v>
      </c>
      <c r="AU278" s="6" t="e">
        <v>#REF!</v>
      </c>
      <c r="AV278" s="6" t="e">
        <v>#REF!</v>
      </c>
      <c r="AW278" s="62">
        <f t="shared" si="82"/>
        <v>16236012.829954</v>
      </c>
      <c r="AX278" s="55">
        <v>9211045.8918660004</v>
      </c>
      <c r="AY278" s="55"/>
      <c r="AZ278" s="55">
        <v>3408090.02</v>
      </c>
      <c r="BA278" s="55">
        <v>2646922.3199999998</v>
      </c>
      <c r="BB278" s="55"/>
      <c r="BC278" s="55"/>
      <c r="BD278" s="55">
        <v>418375.75401383999</v>
      </c>
      <c r="BE278" s="55">
        <v>0</v>
      </c>
      <c r="BF278" s="55">
        <v>0</v>
      </c>
      <c r="BG278" s="55">
        <v>0</v>
      </c>
      <c r="BH278" s="55">
        <v>0</v>
      </c>
      <c r="BI278" s="55">
        <v>0</v>
      </c>
      <c r="BJ278" s="55">
        <v>93758.837799999994</v>
      </c>
      <c r="BK278" s="63">
        <v>22362.497800000001</v>
      </c>
      <c r="BL278" s="111">
        <v>435457.50847415999</v>
      </c>
      <c r="BM278" s="62">
        <f t="shared" si="83"/>
        <v>14592399.018088</v>
      </c>
      <c r="BN278" s="118">
        <v>7567432.0800000001</v>
      </c>
      <c r="BO278" s="55"/>
      <c r="BP278" s="55">
        <v>3408090.02</v>
      </c>
      <c r="BQ278" s="55">
        <v>2646922.3199999998</v>
      </c>
      <c r="BR278" s="55"/>
      <c r="BS278" s="55"/>
      <c r="BT278" s="55">
        <v>418375.75401383999</v>
      </c>
      <c r="BU278" s="55">
        <v>0</v>
      </c>
      <c r="BV278" s="55">
        <v>0</v>
      </c>
      <c r="BW278" s="55">
        <v>0</v>
      </c>
      <c r="BX278" s="55">
        <v>0</v>
      </c>
      <c r="BY278" s="55">
        <v>0</v>
      </c>
      <c r="BZ278" s="55">
        <v>93758.837799999994</v>
      </c>
      <c r="CA278" s="63">
        <v>22362.497800000001</v>
      </c>
      <c r="CB278" s="64">
        <v>435457.50847415999</v>
      </c>
      <c r="CD278" s="126"/>
      <c r="CE278" s="3"/>
    </row>
    <row r="279" spans="1:86" x14ac:dyDescent="0.25">
      <c r="A279" s="105">
        <f t="shared" si="84"/>
        <v>260</v>
      </c>
      <c r="B279" s="106">
        <f t="shared" si="78"/>
        <v>72</v>
      </c>
      <c r="C279" s="53" t="s">
        <v>108</v>
      </c>
      <c r="D279" s="53" t="s">
        <v>156</v>
      </c>
      <c r="E279" s="54">
        <v>1976</v>
      </c>
      <c r="F279" s="54">
        <v>2013</v>
      </c>
      <c r="G279" s="54" t="s">
        <v>64</v>
      </c>
      <c r="H279" s="54">
        <v>4</v>
      </c>
      <c r="I279" s="54">
        <v>6</v>
      </c>
      <c r="J279" s="55">
        <v>5761.37</v>
      </c>
      <c r="K279" s="55">
        <v>4953.17</v>
      </c>
      <c r="L279" s="55">
        <v>0</v>
      </c>
      <c r="M279" s="56">
        <v>208</v>
      </c>
      <c r="N279" s="112">
        <f t="shared" si="80"/>
        <v>7847775.5171412295</v>
      </c>
      <c r="O279" s="55"/>
      <c r="P279" s="63"/>
      <c r="Q279" s="63"/>
      <c r="R279" s="63">
        <v>891053.55</v>
      </c>
      <c r="S279" s="63">
        <v>6956721.9671412297</v>
      </c>
      <c r="T279" s="55"/>
      <c r="U279" s="55">
        <v>3306.7973135626698</v>
      </c>
      <c r="V279" s="55">
        <v>3306.7973135626698</v>
      </c>
      <c r="W279" s="109">
        <v>2023</v>
      </c>
      <c r="X279" s="6" t="e">
        <v>#REF!</v>
      </c>
      <c r="Z279" s="62">
        <f t="shared" si="86"/>
        <v>18855188.25</v>
      </c>
      <c r="AA279" s="55">
        <v>0</v>
      </c>
      <c r="AB279" s="55">
        <v>4852018.68955818</v>
      </c>
      <c r="AC279" s="55">
        <v>5128943.0079808198</v>
      </c>
      <c r="AD279" s="55">
        <v>3910862.6451854398</v>
      </c>
      <c r="AE279" s="55">
        <v>1562309.5679603999</v>
      </c>
      <c r="AF279" s="55"/>
      <c r="AG279" s="55">
        <v>416884.20653627999</v>
      </c>
      <c r="AH279" s="55">
        <v>0</v>
      </c>
      <c r="AI279" s="55">
        <v>0</v>
      </c>
      <c r="AJ279" s="55">
        <v>0</v>
      </c>
      <c r="AK279" s="55">
        <v>0</v>
      </c>
      <c r="AL279" s="55">
        <v>0</v>
      </c>
      <c r="AM279" s="55">
        <v>2448551.2283000001</v>
      </c>
      <c r="AN279" s="63">
        <v>188551.88250000001</v>
      </c>
      <c r="AO279" s="64">
        <v>347067.02197887999</v>
      </c>
      <c r="AP279" s="61">
        <f>+N279-'Приложение №2'!E279</f>
        <v>0</v>
      </c>
      <c r="AQ279" s="1">
        <f>2496690.4</f>
        <v>2496690.4</v>
      </c>
      <c r="AR279" s="3">
        <f t="shared" si="85"/>
        <v>505223.33999999991</v>
      </c>
      <c r="AS279" s="3">
        <f>+(K279*10+L279*20)*12*30</f>
        <v>17831411.999999996</v>
      </c>
      <c r="AT279" s="6">
        <f t="shared" si="81"/>
        <v>-10874690.032858767</v>
      </c>
      <c r="AU279" s="6" t="e">
        <v>#REF!</v>
      </c>
      <c r="AV279" s="6" t="e">
        <v>#REF!</v>
      </c>
      <c r="AW279" s="62">
        <f t="shared" si="82"/>
        <v>16379129.249619229</v>
      </c>
      <c r="AX279" s="55">
        <v>0</v>
      </c>
      <c r="AY279" s="55"/>
      <c r="AZ279" s="55"/>
      <c r="BA279" s="55">
        <v>4510734.7664400004</v>
      </c>
      <c r="BB279" s="55"/>
      <c r="BC279" s="55"/>
      <c r="BD279" s="55"/>
      <c r="BE279" s="55">
        <v>0</v>
      </c>
      <c r="BF279" s="55">
        <v>0</v>
      </c>
      <c r="BG279" s="55">
        <v>0</v>
      </c>
      <c r="BH279" s="55">
        <v>0</v>
      </c>
      <c r="BI279" s="55">
        <v>11240075.836038001</v>
      </c>
      <c r="BJ279" s="55"/>
      <c r="BK279" s="63"/>
      <c r="BL279" s="111">
        <v>628318.64714122796</v>
      </c>
      <c r="BM279" s="62">
        <f t="shared" si="83"/>
        <v>16379129.249619229</v>
      </c>
      <c r="BN279" s="55">
        <v>0</v>
      </c>
      <c r="BO279" s="55"/>
      <c r="BP279" s="55"/>
      <c r="BQ279" s="55">
        <v>4510734.7664400004</v>
      </c>
      <c r="BR279" s="55"/>
      <c r="BS279" s="55"/>
      <c r="BT279" s="55"/>
      <c r="BU279" s="55">
        <v>0</v>
      </c>
      <c r="BV279" s="55">
        <v>0</v>
      </c>
      <c r="BW279" s="55">
        <v>0</v>
      </c>
      <c r="BX279" s="55">
        <v>0</v>
      </c>
      <c r="BY279" s="55">
        <v>11240075.836038001</v>
      </c>
      <c r="BZ279" s="55"/>
      <c r="CA279" s="63"/>
      <c r="CB279" s="64">
        <v>628318.64714122796</v>
      </c>
      <c r="CD279" s="3"/>
      <c r="CE279" s="6"/>
    </row>
    <row r="280" spans="1:86" x14ac:dyDescent="0.25">
      <c r="A280" s="105">
        <f t="shared" si="84"/>
        <v>261</v>
      </c>
      <c r="B280" s="106">
        <f t="shared" si="78"/>
        <v>73</v>
      </c>
      <c r="C280" s="107" t="s">
        <v>108</v>
      </c>
      <c r="D280" s="107" t="s">
        <v>157</v>
      </c>
      <c r="E280" s="54">
        <v>1964</v>
      </c>
      <c r="F280" s="54">
        <v>1978</v>
      </c>
      <c r="G280" s="54" t="s">
        <v>64</v>
      </c>
      <c r="H280" s="54">
        <v>4</v>
      </c>
      <c r="I280" s="54">
        <v>4</v>
      </c>
      <c r="J280" s="55">
        <v>2691.4</v>
      </c>
      <c r="K280" s="55">
        <v>2511.6</v>
      </c>
      <c r="L280" s="55">
        <v>55</v>
      </c>
      <c r="M280" s="56">
        <v>136</v>
      </c>
      <c r="N280" s="108">
        <f t="shared" si="80"/>
        <v>1181739.3143090401</v>
      </c>
      <c r="O280" s="63"/>
      <c r="P280" s="63">
        <v>213370.88</v>
      </c>
      <c r="Q280" s="63"/>
      <c r="R280" s="63">
        <v>364376.03100000002</v>
      </c>
      <c r="S280" s="63">
        <v>603992.40330904</v>
      </c>
      <c r="T280" s="63"/>
      <c r="U280" s="63">
        <v>445.04048324984001</v>
      </c>
      <c r="V280" s="63">
        <v>445.04048324984001</v>
      </c>
      <c r="W280" s="109">
        <v>2023</v>
      </c>
      <c r="X280" s="6" t="e">
        <v>#REF!</v>
      </c>
      <c r="Z280" s="62">
        <f t="shared" si="86"/>
        <v>27187931.989999998</v>
      </c>
      <c r="AA280" s="55">
        <v>5957834.6788287601</v>
      </c>
      <c r="AB280" s="55">
        <v>2123021.4274273198</v>
      </c>
      <c r="AC280" s="55">
        <v>2218085.0113825202</v>
      </c>
      <c r="AD280" s="55">
        <v>1388661.45881064</v>
      </c>
      <c r="AE280" s="55">
        <v>849633.77513700002</v>
      </c>
      <c r="AF280" s="55"/>
      <c r="AG280" s="55">
        <v>228618.42683568</v>
      </c>
      <c r="AH280" s="55">
        <v>0</v>
      </c>
      <c r="AI280" s="55">
        <v>10891828.3075938</v>
      </c>
      <c r="AJ280" s="55">
        <v>0</v>
      </c>
      <c r="AK280" s="55">
        <v>0</v>
      </c>
      <c r="AL280" s="55">
        <v>0</v>
      </c>
      <c r="AM280" s="55">
        <v>2741023.9698999999</v>
      </c>
      <c r="AN280" s="63">
        <v>271879.3199</v>
      </c>
      <c r="AO280" s="64">
        <v>517345.61418427998</v>
      </c>
      <c r="AP280" s="61">
        <f>+N280-'Приложение №2'!E280</f>
        <v>0</v>
      </c>
      <c r="AQ280" s="6">
        <f>1127947.91-R98</f>
        <v>96972.829999999958</v>
      </c>
      <c r="AR280" s="3">
        <f t="shared" si="85"/>
        <v>267403.2</v>
      </c>
      <c r="AS280" s="3">
        <f>+(K280*10+L280*20)*12*30-1866218.37-S98</f>
        <v>521500.30569096003</v>
      </c>
      <c r="AT280" s="6">
        <f t="shared" si="81"/>
        <v>82492.097618079977</v>
      </c>
      <c r="AW280" s="62">
        <f t="shared" si="82"/>
        <v>1142240.9043090399</v>
      </c>
      <c r="AX280" s="55"/>
      <c r="AY280" s="55"/>
      <c r="AZ280" s="55">
        <v>902758.42</v>
      </c>
      <c r="BA280" s="55"/>
      <c r="BB280" s="55"/>
      <c r="BC280" s="55"/>
      <c r="BD280" s="55"/>
      <c r="BE280" s="55">
        <v>0</v>
      </c>
      <c r="BF280" s="55"/>
      <c r="BG280" s="55">
        <v>0</v>
      </c>
      <c r="BH280" s="55">
        <v>0</v>
      </c>
      <c r="BI280" s="55">
        <v>0</v>
      </c>
      <c r="BJ280" s="55"/>
      <c r="BK280" s="63"/>
      <c r="BL280" s="111">
        <v>239482.48430904001</v>
      </c>
      <c r="BM280" s="62">
        <f t="shared" si="83"/>
        <v>1181739.3143090401</v>
      </c>
      <c r="BN280" s="55"/>
      <c r="BO280" s="55"/>
      <c r="BP280" s="55">
        <v>942256.83</v>
      </c>
      <c r="BQ280" s="55"/>
      <c r="BR280" s="55"/>
      <c r="BS280" s="55"/>
      <c r="BT280" s="55"/>
      <c r="BU280" s="55">
        <v>0</v>
      </c>
      <c r="BV280" s="55"/>
      <c r="BW280" s="55">
        <v>0</v>
      </c>
      <c r="BX280" s="55">
        <v>0</v>
      </c>
      <c r="BY280" s="55">
        <v>0</v>
      </c>
      <c r="BZ280" s="55"/>
      <c r="CA280" s="63"/>
      <c r="CB280" s="64">
        <v>239482.48430904001</v>
      </c>
      <c r="CD280" s="6"/>
      <c r="CE280" s="6"/>
    </row>
    <row r="281" spans="1:86" x14ac:dyDescent="0.25">
      <c r="A281" s="105">
        <f t="shared" si="84"/>
        <v>262</v>
      </c>
      <c r="B281" s="106">
        <f t="shared" si="78"/>
        <v>74</v>
      </c>
      <c r="C281" s="107" t="s">
        <v>108</v>
      </c>
      <c r="D281" s="107" t="s">
        <v>357</v>
      </c>
      <c r="E281" s="54">
        <v>1988</v>
      </c>
      <c r="F281" s="54">
        <v>2013</v>
      </c>
      <c r="G281" s="54" t="s">
        <v>64</v>
      </c>
      <c r="H281" s="54">
        <v>3</v>
      </c>
      <c r="I281" s="54">
        <v>3</v>
      </c>
      <c r="J281" s="55">
        <v>1440</v>
      </c>
      <c r="K281" s="55">
        <v>1362.6</v>
      </c>
      <c r="L281" s="55">
        <v>0</v>
      </c>
      <c r="M281" s="56">
        <v>54</v>
      </c>
      <c r="N281" s="108">
        <f t="shared" si="80"/>
        <v>4520457.9502189802</v>
      </c>
      <c r="O281" s="63"/>
      <c r="P281" s="63">
        <v>3695737.61</v>
      </c>
      <c r="Q281" s="63"/>
      <c r="R281" s="63">
        <v>145934.46</v>
      </c>
      <c r="S281" s="63">
        <v>678785.88021898002</v>
      </c>
      <c r="T281" s="63"/>
      <c r="U281" s="55">
        <v>11914.719398173</v>
      </c>
      <c r="V281" s="55">
        <v>11914.719398173</v>
      </c>
      <c r="W281" s="109">
        <v>2023</v>
      </c>
      <c r="X281" s="6" t="e">
        <v>#REF!</v>
      </c>
      <c r="Z281" s="62">
        <f t="shared" si="86"/>
        <v>25083426.917270396</v>
      </c>
      <c r="AA281" s="55">
        <v>4525107.2259669397</v>
      </c>
      <c r="AB281" s="55">
        <v>2796445.91115807</v>
      </c>
      <c r="AC281" s="55">
        <v>1312542.35195631</v>
      </c>
      <c r="AD281" s="55">
        <v>1144056.1189434701</v>
      </c>
      <c r="AE281" s="55">
        <v>736445.82143999997</v>
      </c>
      <c r="AF281" s="55"/>
      <c r="AG281" s="55">
        <v>433409.41392000002</v>
      </c>
      <c r="AH281" s="55">
        <v>0</v>
      </c>
      <c r="AI281" s="55">
        <v>13331310.272431601</v>
      </c>
      <c r="AJ281" s="55">
        <v>0</v>
      </c>
      <c r="AK281" s="55">
        <v>0</v>
      </c>
      <c r="AL281" s="55">
        <v>0</v>
      </c>
      <c r="AM281" s="55">
        <v>225241.67</v>
      </c>
      <c r="AN281" s="55">
        <v>47928.639999999999</v>
      </c>
      <c r="AO281" s="64">
        <v>530939.491454</v>
      </c>
      <c r="AP281" s="61">
        <f>+N281-'Приложение №2'!E645</f>
        <v>-6315799.3919447893</v>
      </c>
      <c r="AQ281" s="65" t="e">
        <f>737152.83-#REF!</f>
        <v>#REF!</v>
      </c>
      <c r="AR281" s="3">
        <f>+(K281*10.5+L281*21)*12*0.85</f>
        <v>145934.45999999996</v>
      </c>
      <c r="AS281" s="3" t="e">
        <f>+(K281*10.5+L281*21)*12*30-#REF!</f>
        <v>#REF!</v>
      </c>
      <c r="AT281" s="6" t="e">
        <f t="shared" si="81"/>
        <v>#REF!</v>
      </c>
      <c r="AU281" s="6" t="e">
        <v>#REF!</v>
      </c>
      <c r="AV281" s="6" t="e">
        <v>#REF!</v>
      </c>
      <c r="AW281" s="110">
        <f t="shared" si="82"/>
        <v>16234996.651950579</v>
      </c>
      <c r="AX281" s="55"/>
      <c r="AY281" s="55"/>
      <c r="AZ281" s="55"/>
      <c r="BA281" s="55"/>
      <c r="BB281" s="55"/>
      <c r="BC281" s="55"/>
      <c r="BD281" s="55"/>
      <c r="BE281" s="55">
        <v>0</v>
      </c>
      <c r="BF281" s="55">
        <v>13331310.272431601</v>
      </c>
      <c r="BG281" s="55">
        <v>0</v>
      </c>
      <c r="BH281" s="55">
        <v>0</v>
      </c>
      <c r="BI281" s="55">
        <v>0</v>
      </c>
      <c r="BJ281" s="55">
        <v>2193617.8228000002</v>
      </c>
      <c r="BK281" s="55">
        <v>242740.96650000001</v>
      </c>
      <c r="BL281" s="111">
        <v>467327.59021897998</v>
      </c>
      <c r="BM281" s="110">
        <f t="shared" si="83"/>
        <v>16234996.651950579</v>
      </c>
      <c r="BN281" s="55"/>
      <c r="BO281" s="55"/>
      <c r="BP281" s="55"/>
      <c r="BQ281" s="55"/>
      <c r="BR281" s="55"/>
      <c r="BS281" s="55"/>
      <c r="BT281" s="55"/>
      <c r="BU281" s="55">
        <v>0</v>
      </c>
      <c r="BV281" s="55">
        <v>13331310.272431601</v>
      </c>
      <c r="BW281" s="55">
        <v>0</v>
      </c>
      <c r="BX281" s="55">
        <v>0</v>
      </c>
      <c r="BY281" s="55">
        <v>0</v>
      </c>
      <c r="BZ281" s="55">
        <v>2193617.8228000002</v>
      </c>
      <c r="CA281" s="55">
        <v>242740.96650000001</v>
      </c>
      <c r="CB281" s="64">
        <v>467327.59021897998</v>
      </c>
      <c r="CD281" s="130"/>
    </row>
    <row r="282" spans="1:86" s="69" customFormat="1" x14ac:dyDescent="0.25">
      <c r="A282" s="105">
        <f t="shared" si="84"/>
        <v>263</v>
      </c>
      <c r="B282" s="106">
        <f t="shared" ref="B282:B313" si="87">+B281+1</f>
        <v>75</v>
      </c>
      <c r="C282" s="53" t="s">
        <v>181</v>
      </c>
      <c r="D282" s="53" t="s">
        <v>358</v>
      </c>
      <c r="E282" s="54" t="s">
        <v>325</v>
      </c>
      <c r="F282" s="54"/>
      <c r="G282" s="54" t="s">
        <v>64</v>
      </c>
      <c r="H282" s="54" t="s">
        <v>123</v>
      </c>
      <c r="I282" s="54" t="s">
        <v>184</v>
      </c>
      <c r="J282" s="55">
        <v>10278.6</v>
      </c>
      <c r="K282" s="55">
        <v>9679.9</v>
      </c>
      <c r="L282" s="55">
        <v>0</v>
      </c>
      <c r="M282" s="56">
        <v>304</v>
      </c>
      <c r="N282" s="112">
        <f t="shared" si="80"/>
        <v>14391805.65454497</v>
      </c>
      <c r="O282" s="55">
        <v>0</v>
      </c>
      <c r="P282" s="63"/>
      <c r="Q282" s="63">
        <v>0</v>
      </c>
      <c r="R282" s="63">
        <v>7645478.0545449704</v>
      </c>
      <c r="S282" s="63">
        <v>6746327.5999999996</v>
      </c>
      <c r="T282" s="63"/>
      <c r="U282" s="63">
        <v>1488.9595592789301</v>
      </c>
      <c r="V282" s="63">
        <v>1305.2830200640001</v>
      </c>
      <c r="W282" s="109">
        <v>2023</v>
      </c>
      <c r="X282" s="69">
        <v>4555600.2300000004</v>
      </c>
      <c r="Y282" s="69">
        <f>+(K282*12.08+L282*20.47)*12</f>
        <v>1403198.304</v>
      </c>
      <c r="AA282" s="70" t="e">
        <v>#REF!</v>
      </c>
      <c r="AD282" s="70" t="e">
        <v>#REF!</v>
      </c>
      <c r="AP282" s="61">
        <f>+N282-'Приложение №2'!E282</f>
        <v>0</v>
      </c>
      <c r="AQ282" s="65">
        <v>7426786.3399999999</v>
      </c>
      <c r="AR282" s="3">
        <f>+(K282*13.95+L282*23.65)*12*0.85</f>
        <v>1377352.9709999997</v>
      </c>
      <c r="AS282" s="3">
        <f>+(K282*13.95+L282*23.65)*12*30</f>
        <v>48612457.799999997</v>
      </c>
      <c r="AT282" s="6">
        <f t="shared" si="81"/>
        <v>-41866130.199999996</v>
      </c>
      <c r="AU282" s="6" t="e">
        <v>#REF!</v>
      </c>
      <c r="AV282" s="6" t="e">
        <v>#REF!</v>
      </c>
      <c r="AW282" s="110">
        <f t="shared" si="82"/>
        <v>14412979.637864092</v>
      </c>
      <c r="AX282" s="55"/>
      <c r="AY282" s="55"/>
      <c r="AZ282" s="55"/>
      <c r="BA282" s="55"/>
      <c r="BB282" s="55"/>
      <c r="BC282" s="55"/>
      <c r="BD282" s="55"/>
      <c r="BE282" s="55">
        <v>13862649.6</v>
      </c>
      <c r="BF282" s="55"/>
      <c r="BG282" s="55"/>
      <c r="BH282" s="55"/>
      <c r="BI282" s="55"/>
      <c r="BJ282" s="55">
        <v>224221.56331912201</v>
      </c>
      <c r="BK282" s="63">
        <v>24000</v>
      </c>
      <c r="BL282" s="111">
        <v>302108.47454497102</v>
      </c>
      <c r="BM282" s="110">
        <f t="shared" si="83"/>
        <v>14412979.637864092</v>
      </c>
      <c r="BN282" s="55"/>
      <c r="BO282" s="55"/>
      <c r="BP282" s="55"/>
      <c r="BQ282" s="55"/>
      <c r="BR282" s="55"/>
      <c r="BS282" s="55"/>
      <c r="BT282" s="55"/>
      <c r="BU282" s="55">
        <v>13862649.6</v>
      </c>
      <c r="BV282" s="55"/>
      <c r="BW282" s="55"/>
      <c r="BX282" s="55"/>
      <c r="BY282" s="55"/>
      <c r="BZ282" s="55">
        <v>224221.56331912201</v>
      </c>
      <c r="CA282" s="63">
        <v>24000</v>
      </c>
      <c r="CB282" s="64">
        <v>302108.47454497102</v>
      </c>
      <c r="CD282" s="70"/>
      <c r="CE282" s="114"/>
    </row>
    <row r="283" spans="1:86" x14ac:dyDescent="0.25">
      <c r="A283" s="105">
        <f t="shared" si="84"/>
        <v>264</v>
      </c>
      <c r="B283" s="106">
        <f t="shared" si="87"/>
        <v>76</v>
      </c>
      <c r="C283" s="53" t="s">
        <v>108</v>
      </c>
      <c r="D283" s="53" t="s">
        <v>162</v>
      </c>
      <c r="E283" s="54">
        <v>1979</v>
      </c>
      <c r="F283" s="54">
        <v>2013</v>
      </c>
      <c r="G283" s="54" t="s">
        <v>64</v>
      </c>
      <c r="H283" s="54">
        <v>4</v>
      </c>
      <c r="I283" s="54">
        <v>4</v>
      </c>
      <c r="J283" s="55">
        <v>3969.95</v>
      </c>
      <c r="K283" s="55">
        <v>3453.7</v>
      </c>
      <c r="L283" s="55">
        <v>0</v>
      </c>
      <c r="M283" s="56">
        <v>154</v>
      </c>
      <c r="N283" s="112">
        <f t="shared" si="80"/>
        <v>2118372.9759980002</v>
      </c>
      <c r="O283" s="55"/>
      <c r="P283" s="63"/>
      <c r="Q283" s="63"/>
      <c r="R283" s="63">
        <v>1705810.55</v>
      </c>
      <c r="S283" s="63">
        <v>412562.42599800002</v>
      </c>
      <c r="T283" s="55"/>
      <c r="U283" s="63">
        <v>613.36334250166499</v>
      </c>
      <c r="V283" s="63">
        <v>613.36334250166499</v>
      </c>
      <c r="W283" s="109">
        <v>2023</v>
      </c>
      <c r="X283" s="6" t="e">
        <v>#REF!</v>
      </c>
      <c r="Z283" s="62">
        <f>SUM(AA283:AO283)</f>
        <v>19594173.580000002</v>
      </c>
      <c r="AA283" s="55">
        <v>5813706.7057906203</v>
      </c>
      <c r="AB283" s="55">
        <v>3362225.5261996798</v>
      </c>
      <c r="AC283" s="55">
        <v>3554121.3229788002</v>
      </c>
      <c r="AD283" s="55">
        <v>2710047.7279638001</v>
      </c>
      <c r="AE283" s="55">
        <v>1082608.5872498399</v>
      </c>
      <c r="AF283" s="55"/>
      <c r="AG283" s="55">
        <v>288881.55977183999</v>
      </c>
      <c r="AH283" s="55">
        <v>0</v>
      </c>
      <c r="AI283" s="55">
        <v>0</v>
      </c>
      <c r="AJ283" s="55">
        <v>0</v>
      </c>
      <c r="AK283" s="55">
        <v>0</v>
      </c>
      <c r="AL283" s="55">
        <v>0</v>
      </c>
      <c r="AM283" s="55">
        <v>2219004.9589</v>
      </c>
      <c r="AN283" s="63">
        <v>195941.73579999999</v>
      </c>
      <c r="AO283" s="64">
        <v>367635.45534541999</v>
      </c>
      <c r="AP283" s="61">
        <f>+N283-'Приложение №2'!E283</f>
        <v>0</v>
      </c>
      <c r="AQ283" s="1">
        <v>1455712.65</v>
      </c>
      <c r="AR283" s="3">
        <f>+(K283*10+L283*20)*12*0.85</f>
        <v>352277.39999999997</v>
      </c>
      <c r="AS283" s="3">
        <f>+(K283*10+L283*20)*12*30</f>
        <v>12433320</v>
      </c>
      <c r="AT283" s="6">
        <f t="shared" si="81"/>
        <v>-12020757.574002</v>
      </c>
      <c r="AU283" s="6" t="e">
        <v>#REF!</v>
      </c>
      <c r="AV283" s="6" t="e">
        <v>#REF!</v>
      </c>
      <c r="AW283" s="62">
        <f t="shared" si="82"/>
        <v>2118372.9759979998</v>
      </c>
      <c r="AX283" s="55"/>
      <c r="AY283" s="55"/>
      <c r="AZ283" s="55">
        <v>1824432.9</v>
      </c>
      <c r="BA283" s="55"/>
      <c r="BB283" s="55"/>
      <c r="BC283" s="55"/>
      <c r="BD283" s="55"/>
      <c r="BE283" s="55">
        <v>0</v>
      </c>
      <c r="BF283" s="55">
        <v>0</v>
      </c>
      <c r="BG283" s="55">
        <v>0</v>
      </c>
      <c r="BH283" s="55">
        <v>0</v>
      </c>
      <c r="BI283" s="55">
        <v>0</v>
      </c>
      <c r="BJ283" s="55"/>
      <c r="BK283" s="63"/>
      <c r="BL283" s="111">
        <v>293940.07599799999</v>
      </c>
      <c r="BM283" s="62">
        <f t="shared" si="83"/>
        <v>2118372.9759979998</v>
      </c>
      <c r="BN283" s="55"/>
      <c r="BO283" s="55"/>
      <c r="BP283" s="55">
        <v>1824432.9</v>
      </c>
      <c r="BQ283" s="55"/>
      <c r="BR283" s="55"/>
      <c r="BS283" s="55"/>
      <c r="BT283" s="55"/>
      <c r="BU283" s="55">
        <v>0</v>
      </c>
      <c r="BV283" s="55">
        <v>0</v>
      </c>
      <c r="BW283" s="55">
        <v>0</v>
      </c>
      <c r="BX283" s="55">
        <v>0</v>
      </c>
      <c r="BY283" s="55">
        <v>0</v>
      </c>
      <c r="BZ283" s="55"/>
      <c r="CA283" s="63"/>
      <c r="CB283" s="64">
        <v>293940.07599799999</v>
      </c>
      <c r="CD283" s="6"/>
    </row>
    <row r="284" spans="1:86" s="69" customFormat="1" x14ac:dyDescent="0.25">
      <c r="A284" s="105">
        <f t="shared" si="84"/>
        <v>265</v>
      </c>
      <c r="B284" s="106">
        <f t="shared" si="87"/>
        <v>77</v>
      </c>
      <c r="C284" s="53" t="s">
        <v>181</v>
      </c>
      <c r="D284" s="53" t="s">
        <v>359</v>
      </c>
      <c r="E284" s="54" t="s">
        <v>360</v>
      </c>
      <c r="F284" s="54"/>
      <c r="G284" s="54" t="s">
        <v>64</v>
      </c>
      <c r="H284" s="54" t="s">
        <v>184</v>
      </c>
      <c r="I284" s="54" t="s">
        <v>102</v>
      </c>
      <c r="J284" s="55">
        <v>2017.1</v>
      </c>
      <c r="K284" s="55">
        <v>1568.7</v>
      </c>
      <c r="L284" s="55">
        <v>241.9</v>
      </c>
      <c r="M284" s="56">
        <v>64</v>
      </c>
      <c r="N284" s="112">
        <f t="shared" si="80"/>
        <v>7865601.7908515604</v>
      </c>
      <c r="O284" s="55">
        <v>0</v>
      </c>
      <c r="P284" s="63"/>
      <c r="Q284" s="63">
        <v>0</v>
      </c>
      <c r="R284" s="63">
        <v>1239934.29</v>
      </c>
      <c r="S284" s="63">
        <v>6625667.5008515604</v>
      </c>
      <c r="T284" s="63"/>
      <c r="U284" s="55">
        <v>8296.6487964837706</v>
      </c>
      <c r="V284" s="55">
        <v>8296.6487964837706</v>
      </c>
      <c r="W284" s="109">
        <v>2023</v>
      </c>
      <c r="X284" s="69">
        <v>737547.36</v>
      </c>
      <c r="Y284" s="69">
        <f>+(K284*9.1+L284*18.19)*12</f>
        <v>224103.97199999998</v>
      </c>
      <c r="AA284" s="70" t="e">
        <v>#REF!</v>
      </c>
      <c r="AD284" s="70" t="e">
        <v>#REF!</v>
      </c>
      <c r="AP284" s="61">
        <f>+N284-'Приложение №2'!E284</f>
        <v>0</v>
      </c>
      <c r="AQ284" s="69">
        <v>1030579.29</v>
      </c>
      <c r="AR284" s="3">
        <f>+(K284*10+L284*20)*12*0.85</f>
        <v>209355</v>
      </c>
      <c r="AS284" s="3">
        <f>+(K284*10+L284*20)*12*30</f>
        <v>7389000</v>
      </c>
      <c r="AT284" s="6">
        <f t="shared" si="81"/>
        <v>-763332.49914843962</v>
      </c>
      <c r="AU284" s="6" t="e">
        <v>#REF!</v>
      </c>
      <c r="AV284" s="6" t="e">
        <v>#REF!</v>
      </c>
      <c r="AW284" s="62">
        <f t="shared" si="82"/>
        <v>15021912.310913512</v>
      </c>
      <c r="AX284" s="55"/>
      <c r="AY284" s="55">
        <v>1579170.2788891001</v>
      </c>
      <c r="AZ284" s="55">
        <v>1749764.97761738</v>
      </c>
      <c r="BA284" s="55">
        <v>1033837.3260811</v>
      </c>
      <c r="BB284" s="55"/>
      <c r="BC284" s="55"/>
      <c r="BD284" s="55"/>
      <c r="BE284" s="55"/>
      <c r="BF284" s="55">
        <v>8595673.1500000004</v>
      </c>
      <c r="BG284" s="55"/>
      <c r="BH284" s="55"/>
      <c r="BI284" s="55"/>
      <c r="BJ284" s="55">
        <v>1182055.9529919701</v>
      </c>
      <c r="BK284" s="63">
        <v>42185.634482399997</v>
      </c>
      <c r="BL284" s="111">
        <v>839224.990851562</v>
      </c>
      <c r="BM284" s="62">
        <f t="shared" si="83"/>
        <v>8436477.2383259311</v>
      </c>
      <c r="BN284" s="55"/>
      <c r="BO284" s="118">
        <v>343509.18</v>
      </c>
      <c r="BP284" s="118">
        <v>1133791.49</v>
      </c>
      <c r="BQ284" s="118">
        <v>605983.06000000006</v>
      </c>
      <c r="BR284" s="55"/>
      <c r="BS284" s="55"/>
      <c r="BT284" s="55"/>
      <c r="BU284" s="55"/>
      <c r="BV284" s="118">
        <v>4289726.93</v>
      </c>
      <c r="BW284" s="55"/>
      <c r="BX284" s="55"/>
      <c r="BY284" s="55"/>
      <c r="BZ284" s="55">
        <v>1182055.9529919701</v>
      </c>
      <c r="CA284" s="63">
        <v>42185.634482399997</v>
      </c>
      <c r="CB284" s="64">
        <v>839224.990851562</v>
      </c>
      <c r="CD284" s="114"/>
    </row>
    <row r="285" spans="1:86" x14ac:dyDescent="0.25">
      <c r="A285" s="105">
        <f t="shared" si="84"/>
        <v>266</v>
      </c>
      <c r="B285" s="106">
        <f t="shared" si="87"/>
        <v>78</v>
      </c>
      <c r="C285" s="107" t="s">
        <v>108</v>
      </c>
      <c r="D285" s="107" t="s">
        <v>166</v>
      </c>
      <c r="E285" s="54">
        <v>1977</v>
      </c>
      <c r="F285" s="54">
        <v>2013</v>
      </c>
      <c r="G285" s="54" t="s">
        <v>64</v>
      </c>
      <c r="H285" s="54">
        <v>4</v>
      </c>
      <c r="I285" s="54">
        <v>4</v>
      </c>
      <c r="J285" s="55">
        <v>3916.4</v>
      </c>
      <c r="K285" s="55">
        <v>3440.3</v>
      </c>
      <c r="L285" s="55">
        <v>0</v>
      </c>
      <c r="M285" s="56">
        <v>163</v>
      </c>
      <c r="N285" s="108">
        <f t="shared" si="80"/>
        <v>8464746.2050062995</v>
      </c>
      <c r="O285" s="63"/>
      <c r="P285" s="63">
        <v>6995444.4900000002</v>
      </c>
      <c r="Q285" s="63"/>
      <c r="R285" s="63">
        <v>228325.97</v>
      </c>
      <c r="S285" s="63">
        <v>1240975.7450063</v>
      </c>
      <c r="T285" s="63"/>
      <c r="U285" s="55">
        <v>3467.57909790027</v>
      </c>
      <c r="V285" s="55">
        <v>3467.57909790027</v>
      </c>
      <c r="W285" s="109">
        <v>2023</v>
      </c>
      <c r="X285" s="6" t="e">
        <v>#REF!</v>
      </c>
      <c r="Z285" s="62">
        <f t="shared" ref="Z285:Z297" si="88">SUM(AA285:AO285)</f>
        <v>62685332.070000015</v>
      </c>
      <c r="AA285" s="55">
        <v>5740166.1959951399</v>
      </c>
      <c r="AB285" s="55">
        <v>3319695.0395049001</v>
      </c>
      <c r="AC285" s="55">
        <v>3509163.4526478602</v>
      </c>
      <c r="AD285" s="55">
        <v>2675766.9644319601</v>
      </c>
      <c r="AE285" s="55">
        <v>1068914.1259818</v>
      </c>
      <c r="AF285" s="55"/>
      <c r="AG285" s="55">
        <v>285227.34661260003</v>
      </c>
      <c r="AH285" s="55">
        <v>0</v>
      </c>
      <c r="AI285" s="55">
        <v>10218369.7972314</v>
      </c>
      <c r="AJ285" s="55">
        <v>0</v>
      </c>
      <c r="AK285" s="55">
        <v>19839022.9193663</v>
      </c>
      <c r="AL285" s="55">
        <v>7802433.2655801</v>
      </c>
      <c r="AM285" s="55">
        <v>6408816.8778999997</v>
      </c>
      <c r="AN285" s="63">
        <v>626853.32070000004</v>
      </c>
      <c r="AO285" s="64">
        <v>1190902.7640479601</v>
      </c>
      <c r="AP285" s="61">
        <f>+N285-'Приложение №2'!E285</f>
        <v>0</v>
      </c>
      <c r="AQ285" s="6">
        <f>1681538.39-R107</f>
        <v>-285600.13000000012</v>
      </c>
      <c r="AR285" s="3">
        <f>+(K285*10+L285*20)*12*0.85</f>
        <v>350910.6</v>
      </c>
      <c r="AS285" s="3">
        <f>+(K285*10+L285*20)*12*30-S107</f>
        <v>138784.60031340085</v>
      </c>
      <c r="AT285" s="6">
        <f t="shared" si="81"/>
        <v>1102191.1446928992</v>
      </c>
      <c r="AU285" s="6" t="e">
        <v>#REF!</v>
      </c>
      <c r="AV285" s="6" t="e">
        <v>#REF!</v>
      </c>
      <c r="AW285" s="62">
        <f t="shared" si="82"/>
        <v>11832476.0305063</v>
      </c>
      <c r="AX285" s="55"/>
      <c r="AY285" s="55"/>
      <c r="AZ285" s="55">
        <v>1782159.18</v>
      </c>
      <c r="BA285" s="3">
        <v>2245953.7400000002</v>
      </c>
      <c r="BB285" s="55"/>
      <c r="BC285" s="55"/>
      <c r="BD285" s="55"/>
      <c r="BE285" s="55"/>
      <c r="BF285" s="55"/>
      <c r="BG285" s="55"/>
      <c r="BH285" s="55"/>
      <c r="BI285" s="55">
        <v>6294505.1200000001</v>
      </c>
      <c r="BJ285" s="55">
        <v>1065595.152</v>
      </c>
      <c r="BK285" s="63">
        <v>110213.5435</v>
      </c>
      <c r="BL285" s="111">
        <v>334049.29500629997</v>
      </c>
      <c r="BM285" s="62">
        <f t="shared" si="83"/>
        <v>9504519.0005063005</v>
      </c>
      <c r="BN285" s="55"/>
      <c r="BO285" s="55"/>
      <c r="BP285" s="118">
        <v>271883.74</v>
      </c>
      <c r="BQ285" s="135">
        <v>1331235.81</v>
      </c>
      <c r="BR285" s="55"/>
      <c r="BS285" s="55"/>
      <c r="BT285" s="55"/>
      <c r="BU285" s="55"/>
      <c r="BV285" s="55"/>
      <c r="BW285" s="55"/>
      <c r="BX285" s="55"/>
      <c r="BY285" s="55">
        <v>6391541.46</v>
      </c>
      <c r="BZ285" s="55">
        <v>1065595.152</v>
      </c>
      <c r="CA285" s="63">
        <v>110213.5435</v>
      </c>
      <c r="CB285" s="64">
        <v>334049.29500629997</v>
      </c>
      <c r="CD285" s="6"/>
    </row>
    <row r="286" spans="1:86" x14ac:dyDescent="0.25">
      <c r="A286" s="105">
        <f t="shared" si="84"/>
        <v>267</v>
      </c>
      <c r="B286" s="106">
        <f t="shared" si="87"/>
        <v>79</v>
      </c>
      <c r="C286" s="107" t="s">
        <v>108</v>
      </c>
      <c r="D286" s="107" t="s">
        <v>361</v>
      </c>
      <c r="E286" s="54">
        <v>1964</v>
      </c>
      <c r="F286" s="54">
        <v>2009</v>
      </c>
      <c r="G286" s="54" t="s">
        <v>64</v>
      </c>
      <c r="H286" s="54">
        <v>4</v>
      </c>
      <c r="I286" s="54">
        <v>2</v>
      </c>
      <c r="J286" s="55">
        <v>1462.3</v>
      </c>
      <c r="K286" s="55">
        <v>1198.5999999999999</v>
      </c>
      <c r="L286" s="55">
        <v>42.9</v>
      </c>
      <c r="M286" s="56">
        <v>60</v>
      </c>
      <c r="N286" s="108">
        <f t="shared" si="80"/>
        <v>7251475.6915714704</v>
      </c>
      <c r="O286" s="63"/>
      <c r="P286" s="63">
        <f>1803576.66-212153.56</f>
        <v>1591423.0999999999</v>
      </c>
      <c r="Q286" s="63"/>
      <c r="R286" s="63">
        <v>737678.98</v>
      </c>
      <c r="S286" s="63">
        <v>4922373.6115714703</v>
      </c>
      <c r="T286" s="63"/>
      <c r="U286" s="63">
        <v>9794.7952386896995</v>
      </c>
      <c r="V286" s="63">
        <v>1311.2830200640001</v>
      </c>
      <c r="W286" s="109">
        <v>2023</v>
      </c>
      <c r="X286" s="6" t="e">
        <v>#REF!</v>
      </c>
      <c r="Z286" s="62">
        <f t="shared" si="88"/>
        <v>20418803.975269284</v>
      </c>
      <c r="AA286" s="55">
        <v>3233669.8007459999</v>
      </c>
      <c r="AB286" s="55">
        <v>1144519.81959</v>
      </c>
      <c r="AC286" s="55">
        <v>1220789.9808032799</v>
      </c>
      <c r="AD286" s="55">
        <v>768385.93582799996</v>
      </c>
      <c r="AE286" s="55">
        <v>553182.05875800003</v>
      </c>
      <c r="AF286" s="55"/>
      <c r="AG286" s="55">
        <v>117081.436122</v>
      </c>
      <c r="AH286" s="55">
        <v>0</v>
      </c>
      <c r="AI286" s="55">
        <v>5981715.0371580003</v>
      </c>
      <c r="AJ286" s="55">
        <v>0</v>
      </c>
      <c r="AK286" s="55">
        <v>3107129.5399620002</v>
      </c>
      <c r="AL286" s="55">
        <v>3344141.2588049201</v>
      </c>
      <c r="AM286" s="55">
        <v>451116.49</v>
      </c>
      <c r="AN286" s="55">
        <v>71289.704895854593</v>
      </c>
      <c r="AO286" s="64">
        <v>425782.91260122898</v>
      </c>
      <c r="AP286" s="61">
        <f>+N286-'Приложение №2'!E286</f>
        <v>0</v>
      </c>
      <c r="AQ286" s="1">
        <f>686372.31-86252.57</f>
        <v>600119.74</v>
      </c>
      <c r="AR286" s="3">
        <f>+(K286*10.5+L286*21)*12*0.85</f>
        <v>137559.24</v>
      </c>
      <c r="AS286" s="3">
        <f>+(K286*10.5+L286*21)*12*30</f>
        <v>4855032</v>
      </c>
      <c r="AT286" s="6">
        <f t="shared" si="81"/>
        <v>67341.611571470276</v>
      </c>
      <c r="AU286" s="6" t="e">
        <v>#REF!</v>
      </c>
      <c r="AV286" s="6" t="e">
        <v>#REF!</v>
      </c>
      <c r="AW286" s="110">
        <f t="shared" si="82"/>
        <v>11740041.57309347</v>
      </c>
      <c r="AX286" s="55">
        <v>3280088.99</v>
      </c>
      <c r="AY286" s="55"/>
      <c r="AZ286" s="55">
        <v>1247962.1000000001</v>
      </c>
      <c r="BA286" s="55"/>
      <c r="BB286" s="55"/>
      <c r="BC286" s="55"/>
      <c r="BD286" s="55">
        <v>117081.436122</v>
      </c>
      <c r="BE286" s="55">
        <v>0</v>
      </c>
      <c r="BF286" s="55">
        <v>6081223.3600000003</v>
      </c>
      <c r="BG286" s="55">
        <v>0</v>
      </c>
      <c r="BH286" s="55"/>
      <c r="BI286" s="55"/>
      <c r="BJ286" s="55">
        <v>390060.34769999998</v>
      </c>
      <c r="BK286" s="55">
        <v>37971.527699999999</v>
      </c>
      <c r="BL286" s="111">
        <v>585653.81157147198</v>
      </c>
      <c r="BM286" s="110">
        <f t="shared" si="83"/>
        <v>9335522.3930934705</v>
      </c>
      <c r="BN286" s="55">
        <v>3280088.99</v>
      </c>
      <c r="BO286" s="55"/>
      <c r="BP286" s="55">
        <v>1247962.1000000001</v>
      </c>
      <c r="BQ286" s="55"/>
      <c r="BR286" s="55"/>
      <c r="BS286" s="55"/>
      <c r="BT286" s="55">
        <v>117081.436122</v>
      </c>
      <c r="BU286" s="55">
        <v>0</v>
      </c>
      <c r="BV286" s="55">
        <v>3676704.18</v>
      </c>
      <c r="BW286" s="55">
        <v>0</v>
      </c>
      <c r="BX286" s="55"/>
      <c r="BY286" s="55"/>
      <c r="BZ286" s="55">
        <v>390060.34769999998</v>
      </c>
      <c r="CA286" s="55">
        <v>37971.527699999999</v>
      </c>
      <c r="CB286" s="64">
        <v>585653.81157147198</v>
      </c>
      <c r="CD286" s="6"/>
      <c r="CE286" s="3"/>
      <c r="CF286" s="3"/>
    </row>
    <row r="287" spans="1:86" x14ac:dyDescent="0.25">
      <c r="A287" s="105">
        <f t="shared" si="84"/>
        <v>268</v>
      </c>
      <c r="B287" s="106">
        <f t="shared" si="87"/>
        <v>80</v>
      </c>
      <c r="C287" s="53" t="s">
        <v>108</v>
      </c>
      <c r="D287" s="53" t="s">
        <v>362</v>
      </c>
      <c r="E287" s="54">
        <v>1971</v>
      </c>
      <c r="F287" s="54">
        <v>2013</v>
      </c>
      <c r="G287" s="54" t="s">
        <v>64</v>
      </c>
      <c r="H287" s="54">
        <v>4</v>
      </c>
      <c r="I287" s="54">
        <v>4</v>
      </c>
      <c r="J287" s="55">
        <v>4741.46</v>
      </c>
      <c r="K287" s="55">
        <v>3462.3</v>
      </c>
      <c r="L287" s="55">
        <v>0</v>
      </c>
      <c r="M287" s="56">
        <v>145</v>
      </c>
      <c r="N287" s="112">
        <f t="shared" si="80"/>
        <v>1601588.2380766</v>
      </c>
      <c r="O287" s="55"/>
      <c r="P287" s="63"/>
      <c r="Q287" s="63"/>
      <c r="R287" s="63">
        <v>1392786.91</v>
      </c>
      <c r="S287" s="63">
        <v>208801.32807660001</v>
      </c>
      <c r="T287" s="63"/>
      <c r="U287" s="55">
        <v>462.57927911405699</v>
      </c>
      <c r="V287" s="55">
        <v>462.57927911405699</v>
      </c>
      <c r="W287" s="109">
        <v>2023</v>
      </c>
      <c r="X287" s="6" t="e">
        <v>#REF!</v>
      </c>
      <c r="Z287" s="62">
        <f t="shared" si="88"/>
        <v>2790814.3390765996</v>
      </c>
      <c r="AA287" s="55">
        <v>0</v>
      </c>
      <c r="AB287" s="55">
        <v>0</v>
      </c>
      <c r="AC287" s="55">
        <v>0</v>
      </c>
      <c r="AD287" s="55">
        <v>0</v>
      </c>
      <c r="AE287" s="55">
        <v>1392786.91</v>
      </c>
      <c r="AF287" s="55"/>
      <c r="AG287" s="55">
        <v>0</v>
      </c>
      <c r="AH287" s="55">
        <v>0</v>
      </c>
      <c r="AI287" s="55">
        <v>0</v>
      </c>
      <c r="AJ287" s="55">
        <v>0</v>
      </c>
      <c r="AK287" s="55">
        <v>0</v>
      </c>
      <c r="AL287" s="55"/>
      <c r="AM287" s="55">
        <v>1123898.77</v>
      </c>
      <c r="AN287" s="63">
        <v>93958.260999999999</v>
      </c>
      <c r="AO287" s="64">
        <v>180170.39807659999</v>
      </c>
      <c r="AP287" s="61">
        <f>+N287-'Приложение №2'!E287</f>
        <v>0</v>
      </c>
      <c r="AQ287" s="1">
        <v>1642541.21</v>
      </c>
      <c r="AR287" s="3">
        <f t="shared" ref="AR287:AR299" si="89">+(K287*10+L287*20)*12*0.85</f>
        <v>353154.6</v>
      </c>
      <c r="AS287" s="3">
        <f t="shared" ref="AS287:AS293" si="90">+(K287*10+L287*20)*12*30</f>
        <v>12464280</v>
      </c>
      <c r="AT287" s="6">
        <f t="shared" si="81"/>
        <v>-12255478.671923401</v>
      </c>
      <c r="AU287" s="6" t="e">
        <v>#REF!</v>
      </c>
      <c r="AV287" s="6" t="e">
        <v>#REF!</v>
      </c>
      <c r="AW287" s="62">
        <f t="shared" si="82"/>
        <v>1601588.2380766</v>
      </c>
      <c r="AX287" s="55">
        <v>0</v>
      </c>
      <c r="AY287" s="55">
        <v>0</v>
      </c>
      <c r="AZ287" s="55">
        <v>0</v>
      </c>
      <c r="BA287" s="55">
        <v>0</v>
      </c>
      <c r="BB287" s="55">
        <v>1421417.84</v>
      </c>
      <c r="BC287" s="55"/>
      <c r="BD287" s="55"/>
      <c r="BE287" s="55">
        <v>0</v>
      </c>
      <c r="BF287" s="55">
        <v>0</v>
      </c>
      <c r="BG287" s="55">
        <v>0</v>
      </c>
      <c r="BH287" s="55">
        <v>0</v>
      </c>
      <c r="BI287" s="55"/>
      <c r="BJ287" s="55"/>
      <c r="BK287" s="63"/>
      <c r="BL287" s="111">
        <v>180170.39807659999</v>
      </c>
      <c r="BM287" s="62">
        <f t="shared" si="83"/>
        <v>1601588.2380766</v>
      </c>
      <c r="BN287" s="55">
        <v>0</v>
      </c>
      <c r="BO287" s="55">
        <v>0</v>
      </c>
      <c r="BP287" s="55">
        <v>0</v>
      </c>
      <c r="BQ287" s="55">
        <v>0</v>
      </c>
      <c r="BR287" s="55">
        <v>1421417.84</v>
      </c>
      <c r="BS287" s="55"/>
      <c r="BT287" s="55"/>
      <c r="BU287" s="55">
        <v>0</v>
      </c>
      <c r="BV287" s="55">
        <v>0</v>
      </c>
      <c r="BW287" s="55">
        <v>0</v>
      </c>
      <c r="BX287" s="55">
        <v>0</v>
      </c>
      <c r="BY287" s="55"/>
      <c r="BZ287" s="55"/>
      <c r="CA287" s="63"/>
      <c r="CB287" s="64">
        <v>180170.39807659999</v>
      </c>
      <c r="CD287" s="6"/>
    </row>
    <row r="288" spans="1:86" x14ac:dyDescent="0.25">
      <c r="A288" s="105">
        <f t="shared" si="84"/>
        <v>269</v>
      </c>
      <c r="B288" s="106">
        <f t="shared" si="87"/>
        <v>81</v>
      </c>
      <c r="C288" s="53" t="s">
        <v>108</v>
      </c>
      <c r="D288" s="53" t="s">
        <v>363</v>
      </c>
      <c r="E288" s="54">
        <v>1972</v>
      </c>
      <c r="F288" s="54">
        <v>2013</v>
      </c>
      <c r="G288" s="54" t="s">
        <v>64</v>
      </c>
      <c r="H288" s="54">
        <v>4</v>
      </c>
      <c r="I288" s="54">
        <v>4</v>
      </c>
      <c r="J288" s="55">
        <v>4744.0600000000004</v>
      </c>
      <c r="K288" s="55">
        <v>3488.5</v>
      </c>
      <c r="L288" s="55">
        <v>0</v>
      </c>
      <c r="M288" s="56">
        <v>131</v>
      </c>
      <c r="N288" s="112">
        <f t="shared" si="80"/>
        <v>1411333.7441759999</v>
      </c>
      <c r="O288" s="55"/>
      <c r="P288" s="63"/>
      <c r="Q288" s="63"/>
      <c r="R288" s="63">
        <v>1411333.7441759999</v>
      </c>
      <c r="S288" s="63">
        <v>0</v>
      </c>
      <c r="T288" s="63"/>
      <c r="U288" s="55">
        <v>404.56750585523901</v>
      </c>
      <c r="V288" s="55">
        <v>404.56750585523901</v>
      </c>
      <c r="W288" s="109">
        <v>2023</v>
      </c>
      <c r="X288" s="6" t="e">
        <v>#REF!</v>
      </c>
      <c r="Z288" s="62">
        <f t="shared" si="88"/>
        <v>10717070.434175998</v>
      </c>
      <c r="AA288" s="55">
        <v>0</v>
      </c>
      <c r="AB288" s="55">
        <v>0</v>
      </c>
      <c r="AC288" s="55">
        <v>0</v>
      </c>
      <c r="AD288" s="55">
        <v>0</v>
      </c>
      <c r="AE288" s="55">
        <v>1346427.66</v>
      </c>
      <c r="AF288" s="55"/>
      <c r="AG288" s="55">
        <v>0</v>
      </c>
      <c r="AH288" s="55">
        <v>0</v>
      </c>
      <c r="AI288" s="55">
        <v>0</v>
      </c>
      <c r="AJ288" s="55">
        <v>0</v>
      </c>
      <c r="AK288" s="55">
        <v>0</v>
      </c>
      <c r="AL288" s="55">
        <v>7971493.9287815997</v>
      </c>
      <c r="AM288" s="55">
        <v>1124576.2</v>
      </c>
      <c r="AN288" s="63">
        <v>94026.004000000001</v>
      </c>
      <c r="AO288" s="64">
        <v>180546.64139440001</v>
      </c>
      <c r="AP288" s="61">
        <f>+N288-'Приложение №2'!E288</f>
        <v>0</v>
      </c>
      <c r="AQ288" s="1">
        <v>1719366.16</v>
      </c>
      <c r="AR288" s="3">
        <f t="shared" si="89"/>
        <v>355827</v>
      </c>
      <c r="AS288" s="3">
        <f t="shared" si="90"/>
        <v>12558600</v>
      </c>
      <c r="AT288" s="6">
        <f t="shared" si="81"/>
        <v>-12558600</v>
      </c>
      <c r="AU288" s="6" t="e">
        <v>#REF!</v>
      </c>
      <c r="AV288" s="6" t="e">
        <v>#REF!</v>
      </c>
      <c r="AW288" s="62">
        <f t="shared" si="82"/>
        <v>1411333.7441760001</v>
      </c>
      <c r="AX288" s="55">
        <v>0</v>
      </c>
      <c r="AY288" s="55">
        <v>0</v>
      </c>
      <c r="AZ288" s="55">
        <v>0</v>
      </c>
      <c r="BA288" s="55">
        <v>0</v>
      </c>
      <c r="BB288" s="55">
        <v>1405107.53</v>
      </c>
      <c r="BC288" s="55"/>
      <c r="BD288" s="55"/>
      <c r="BE288" s="55">
        <v>0</v>
      </c>
      <c r="BF288" s="55">
        <v>0</v>
      </c>
      <c r="BG288" s="55">
        <v>0</v>
      </c>
      <c r="BH288" s="55">
        <v>0</v>
      </c>
      <c r="BI288" s="55"/>
      <c r="BJ288" s="55"/>
      <c r="BK288" s="63"/>
      <c r="BL288" s="111">
        <v>6226.2141760000004</v>
      </c>
      <c r="BM288" s="62">
        <f t="shared" si="83"/>
        <v>1411333.7441760001</v>
      </c>
      <c r="BN288" s="55">
        <v>0</v>
      </c>
      <c r="BO288" s="55">
        <v>0</v>
      </c>
      <c r="BP288" s="55">
        <v>0</v>
      </c>
      <c r="BQ288" s="55">
        <v>0</v>
      </c>
      <c r="BR288" s="55">
        <v>1405107.53</v>
      </c>
      <c r="BS288" s="55"/>
      <c r="BT288" s="55"/>
      <c r="BU288" s="55">
        <v>0</v>
      </c>
      <c r="BV288" s="55">
        <v>0</v>
      </c>
      <c r="BW288" s="55">
        <v>0</v>
      </c>
      <c r="BX288" s="55">
        <v>0</v>
      </c>
      <c r="BY288" s="55"/>
      <c r="BZ288" s="55"/>
      <c r="CA288" s="63"/>
      <c r="CB288" s="64">
        <v>6226.2141760000004</v>
      </c>
      <c r="CD288" s="6"/>
    </row>
    <row r="289" spans="1:84" x14ac:dyDescent="0.25">
      <c r="A289" s="105">
        <f t="shared" si="84"/>
        <v>270</v>
      </c>
      <c r="B289" s="106">
        <f t="shared" si="87"/>
        <v>82</v>
      </c>
      <c r="C289" s="53" t="s">
        <v>108</v>
      </c>
      <c r="D289" s="53" t="s">
        <v>364</v>
      </c>
      <c r="E289" s="54">
        <v>1972</v>
      </c>
      <c r="F289" s="54">
        <v>2013</v>
      </c>
      <c r="G289" s="54" t="s">
        <v>64</v>
      </c>
      <c r="H289" s="54">
        <v>4</v>
      </c>
      <c r="I289" s="54">
        <v>4</v>
      </c>
      <c r="J289" s="55">
        <v>4681.66</v>
      </c>
      <c r="K289" s="55">
        <v>3441.2</v>
      </c>
      <c r="L289" s="55">
        <v>0</v>
      </c>
      <c r="M289" s="56">
        <v>142</v>
      </c>
      <c r="N289" s="112">
        <f t="shared" si="80"/>
        <v>1419894.4741760001</v>
      </c>
      <c r="O289" s="55"/>
      <c r="P289" s="63"/>
      <c r="Q289" s="63"/>
      <c r="R289" s="63">
        <v>1419894.4741760001</v>
      </c>
      <c r="S289" s="63">
        <v>0</v>
      </c>
      <c r="T289" s="63"/>
      <c r="U289" s="55">
        <v>412.61608571893498</v>
      </c>
      <c r="V289" s="55">
        <v>412.61608571893498</v>
      </c>
      <c r="W289" s="109">
        <v>2023</v>
      </c>
      <c r="X289" s="6" t="e">
        <v>#REF!</v>
      </c>
      <c r="Z289" s="62">
        <f t="shared" si="88"/>
        <v>10554632.254175998</v>
      </c>
      <c r="AA289" s="55">
        <v>0</v>
      </c>
      <c r="AB289" s="55">
        <v>0</v>
      </c>
      <c r="AC289" s="55">
        <v>0</v>
      </c>
      <c r="AD289" s="55">
        <v>0</v>
      </c>
      <c r="AE289" s="55">
        <v>1346569.54</v>
      </c>
      <c r="AF289" s="55"/>
      <c r="AG289" s="55">
        <v>0</v>
      </c>
      <c r="AH289" s="55">
        <v>0</v>
      </c>
      <c r="AI289" s="55">
        <v>0</v>
      </c>
      <c r="AJ289" s="55">
        <v>0</v>
      </c>
      <c r="AK289" s="55">
        <v>0</v>
      </c>
      <c r="AL289" s="55">
        <v>7829891.4404087998</v>
      </c>
      <c r="AM289" s="55">
        <v>1108317.8799999999</v>
      </c>
      <c r="AN289" s="63">
        <v>92400.172000000006</v>
      </c>
      <c r="AO289" s="64">
        <v>177453.22176720001</v>
      </c>
      <c r="AP289" s="61">
        <f>+N289-'Приложение №2'!E289</f>
        <v>0</v>
      </c>
      <c r="AQ289" s="1">
        <v>1671383.18</v>
      </c>
      <c r="AR289" s="3">
        <f t="shared" si="89"/>
        <v>351002.39999999997</v>
      </c>
      <c r="AS289" s="3">
        <f t="shared" si="90"/>
        <v>12388320</v>
      </c>
      <c r="AT289" s="6">
        <f t="shared" si="81"/>
        <v>-12388320</v>
      </c>
      <c r="AU289" s="6" t="e">
        <v>#REF!</v>
      </c>
      <c r="AV289" s="6" t="e">
        <v>#REF!</v>
      </c>
      <c r="AW289" s="62">
        <f t="shared" si="82"/>
        <v>1419894.4741760001</v>
      </c>
      <c r="AX289" s="55">
        <v>0</v>
      </c>
      <c r="AY289" s="55">
        <v>0</v>
      </c>
      <c r="AZ289" s="55">
        <v>0</v>
      </c>
      <c r="BA289" s="55">
        <v>0</v>
      </c>
      <c r="BB289" s="55">
        <v>1413665.12</v>
      </c>
      <c r="BC289" s="55"/>
      <c r="BD289" s="55"/>
      <c r="BE289" s="55">
        <v>0</v>
      </c>
      <c r="BF289" s="55">
        <v>0</v>
      </c>
      <c r="BG289" s="55">
        <v>0</v>
      </c>
      <c r="BH289" s="55">
        <v>0</v>
      </c>
      <c r="BI289" s="55"/>
      <c r="BJ289" s="55"/>
      <c r="BK289" s="63"/>
      <c r="BL289" s="111">
        <v>6229.3541759999998</v>
      </c>
      <c r="BM289" s="62">
        <f t="shared" si="83"/>
        <v>1419894.4741760001</v>
      </c>
      <c r="BN289" s="55">
        <v>0</v>
      </c>
      <c r="BO289" s="55">
        <v>0</v>
      </c>
      <c r="BP289" s="55">
        <v>0</v>
      </c>
      <c r="BQ289" s="55">
        <v>0</v>
      </c>
      <c r="BR289" s="55">
        <v>1413665.12</v>
      </c>
      <c r="BS289" s="55"/>
      <c r="BT289" s="55"/>
      <c r="BU289" s="55">
        <v>0</v>
      </c>
      <c r="BV289" s="55">
        <v>0</v>
      </c>
      <c r="BW289" s="55">
        <v>0</v>
      </c>
      <c r="BX289" s="55">
        <v>0</v>
      </c>
      <c r="BY289" s="55"/>
      <c r="BZ289" s="55"/>
      <c r="CA289" s="63"/>
      <c r="CB289" s="64">
        <v>6229.3541759999998</v>
      </c>
    </row>
    <row r="290" spans="1:84" ht="16.5" x14ac:dyDescent="0.25">
      <c r="A290" s="105">
        <f t="shared" si="84"/>
        <v>271</v>
      </c>
      <c r="B290" s="106">
        <f t="shared" si="87"/>
        <v>83</v>
      </c>
      <c r="C290" s="107" t="s">
        <v>108</v>
      </c>
      <c r="D290" s="107" t="s">
        <v>365</v>
      </c>
      <c r="E290" s="54">
        <v>1968</v>
      </c>
      <c r="F290" s="54">
        <v>2013</v>
      </c>
      <c r="G290" s="54" t="s">
        <v>64</v>
      </c>
      <c r="H290" s="54">
        <v>4</v>
      </c>
      <c r="I290" s="54">
        <v>4</v>
      </c>
      <c r="J290" s="55">
        <v>2683.3</v>
      </c>
      <c r="K290" s="55">
        <v>2455</v>
      </c>
      <c r="L290" s="55">
        <v>0</v>
      </c>
      <c r="M290" s="56">
        <v>116</v>
      </c>
      <c r="N290" s="108">
        <f t="shared" si="80"/>
        <v>17646393.779245801</v>
      </c>
      <c r="O290" s="63"/>
      <c r="P290" s="63">
        <v>3292073.34</v>
      </c>
      <c r="Q290" s="63"/>
      <c r="R290" s="62">
        <v>833638.40000000002</v>
      </c>
      <c r="S290" s="63">
        <v>10734382.809245801</v>
      </c>
      <c r="T290" s="63">
        <v>2786299.23</v>
      </c>
      <c r="U290" s="55">
        <v>10413.6714172969</v>
      </c>
      <c r="V290" s="55">
        <v>10413.6714172969</v>
      </c>
      <c r="W290" s="109">
        <v>2023</v>
      </c>
      <c r="X290" s="6" t="e">
        <v>#REF!</v>
      </c>
      <c r="Z290" s="62">
        <f t="shared" si="88"/>
        <v>26448146.579999998</v>
      </c>
      <c r="AA290" s="55">
        <v>5795721.6070735799</v>
      </c>
      <c r="AB290" s="55">
        <v>2065253.8792078199</v>
      </c>
      <c r="AC290" s="55">
        <v>2157730.7733307201</v>
      </c>
      <c r="AD290" s="55">
        <v>1350875.8939846801</v>
      </c>
      <c r="AE290" s="55">
        <v>826515.18096839997</v>
      </c>
      <c r="AF290" s="55"/>
      <c r="AG290" s="55">
        <v>222397.71089424001</v>
      </c>
      <c r="AH290" s="55">
        <v>0</v>
      </c>
      <c r="AI290" s="55">
        <v>10595460.935770201</v>
      </c>
      <c r="AJ290" s="55">
        <v>0</v>
      </c>
      <c r="AK290" s="55">
        <v>0</v>
      </c>
      <c r="AL290" s="55">
        <v>0</v>
      </c>
      <c r="AM290" s="55">
        <v>2666440.5268000001</v>
      </c>
      <c r="AN290" s="63">
        <v>264481.46580000001</v>
      </c>
      <c r="AO290" s="64">
        <v>503268.60617036</v>
      </c>
      <c r="AP290" s="61">
        <f>+N290-'Приложение №2'!E290</f>
        <v>4.0978193283081055E-8</v>
      </c>
      <c r="AQ290" s="1">
        <f>1035919.14-96406.2</f>
        <v>939512.94000000006</v>
      </c>
      <c r="AR290" s="3">
        <f t="shared" si="89"/>
        <v>250410</v>
      </c>
      <c r="AS290" s="3">
        <f t="shared" si="90"/>
        <v>8838000</v>
      </c>
      <c r="AT290" s="6">
        <f t="shared" si="81"/>
        <v>1896382.8092458006</v>
      </c>
      <c r="AU290" s="6" t="e">
        <v>#REF!</v>
      </c>
      <c r="AV290" s="6" t="e">
        <v>#REF!</v>
      </c>
      <c r="AW290" s="62">
        <f t="shared" si="82"/>
        <v>25478711.007879999</v>
      </c>
      <c r="AX290" s="55">
        <v>6334618.4835360004</v>
      </c>
      <c r="AY290" s="55">
        <v>2285255.0308980001</v>
      </c>
      <c r="AZ290" s="55">
        <v>2421941.33</v>
      </c>
      <c r="BA290" s="55">
        <v>1543119.658416</v>
      </c>
      <c r="BB290" s="55"/>
      <c r="BC290" s="55"/>
      <c r="BD290" s="55">
        <v>222397.71089424001</v>
      </c>
      <c r="BE290" s="55">
        <v>0</v>
      </c>
      <c r="BF290" s="55">
        <v>11696963.74329</v>
      </c>
      <c r="BG290" s="55">
        <v>0</v>
      </c>
      <c r="BH290" s="55">
        <v>0</v>
      </c>
      <c r="BI290" s="55"/>
      <c r="BJ290" s="55">
        <v>388642.91080000001</v>
      </c>
      <c r="BK290" s="63">
        <v>50318.9908</v>
      </c>
      <c r="BL290" s="111">
        <v>535453.14924576005</v>
      </c>
      <c r="BM290" s="62">
        <f t="shared" si="83"/>
        <v>21165662.406174</v>
      </c>
      <c r="BN290" s="55">
        <v>6334618.4835360004</v>
      </c>
      <c r="BO290" s="55">
        <v>2285255.0308980001</v>
      </c>
      <c r="BP290" s="55">
        <v>2421941.33</v>
      </c>
      <c r="BQ290" s="55">
        <v>1626971.98</v>
      </c>
      <c r="BR290" s="55"/>
      <c r="BS290" s="55"/>
      <c r="BT290" s="55">
        <v>222397.71089424001</v>
      </c>
      <c r="BU290" s="55">
        <v>0</v>
      </c>
      <c r="BV290" s="55">
        <v>7300062.8200000003</v>
      </c>
      <c r="BW290" s="55">
        <v>0</v>
      </c>
      <c r="BX290" s="55">
        <v>0</v>
      </c>
      <c r="BY290" s="55"/>
      <c r="BZ290" s="55">
        <v>388642.91080000001</v>
      </c>
      <c r="CA290" s="63">
        <v>50318.9908</v>
      </c>
      <c r="CB290" s="64">
        <v>535453.14924576005</v>
      </c>
      <c r="CD290" s="133"/>
      <c r="CE290" s="126"/>
      <c r="CF290" s="133"/>
    </row>
    <row r="291" spans="1:84" x14ac:dyDescent="0.25">
      <c r="A291" s="105">
        <f t="shared" si="84"/>
        <v>272</v>
      </c>
      <c r="B291" s="106">
        <f t="shared" si="87"/>
        <v>84</v>
      </c>
      <c r="C291" s="53" t="s">
        <v>108</v>
      </c>
      <c r="D291" s="53" t="s">
        <v>366</v>
      </c>
      <c r="E291" s="54">
        <v>1970</v>
      </c>
      <c r="F291" s="54">
        <v>2013</v>
      </c>
      <c r="G291" s="54" t="s">
        <v>64</v>
      </c>
      <c r="H291" s="54">
        <v>4</v>
      </c>
      <c r="I291" s="54">
        <v>4</v>
      </c>
      <c r="J291" s="55">
        <v>2722.8</v>
      </c>
      <c r="K291" s="55">
        <v>2468.6999999999998</v>
      </c>
      <c r="L291" s="55">
        <v>72.099999999999994</v>
      </c>
      <c r="M291" s="56">
        <v>146</v>
      </c>
      <c r="N291" s="112">
        <f t="shared" si="80"/>
        <v>16991306.0926097</v>
      </c>
      <c r="O291" s="63"/>
      <c r="P291" s="63">
        <v>3301463.24</v>
      </c>
      <c r="Q291" s="63"/>
      <c r="R291" s="63">
        <v>1018761</v>
      </c>
      <c r="S291" s="63">
        <v>11071937.5826097</v>
      </c>
      <c r="T291" s="63">
        <v>1599144.27</v>
      </c>
      <c r="U291" s="55">
        <v>10175.7369118931</v>
      </c>
      <c r="V291" s="55">
        <v>10175.7369118931</v>
      </c>
      <c r="W291" s="109">
        <v>2023</v>
      </c>
      <c r="X291" s="6" t="e">
        <v>#REF!</v>
      </c>
      <c r="Z291" s="62">
        <f t="shared" si="88"/>
        <v>26878507.739999995</v>
      </c>
      <c r="AA291" s="55">
        <v>5890028.91603126</v>
      </c>
      <c r="AB291" s="55">
        <v>2098859.4476879402</v>
      </c>
      <c r="AC291" s="55">
        <v>2192841.1151652602</v>
      </c>
      <c r="AD291" s="55">
        <v>1372857.18643836</v>
      </c>
      <c r="AE291" s="55">
        <v>839964.14065872005</v>
      </c>
      <c r="AF291" s="55"/>
      <c r="AG291" s="55">
        <v>226016.53592028</v>
      </c>
      <c r="AH291" s="55">
        <v>0</v>
      </c>
      <c r="AI291" s="55">
        <v>10767869.049508199</v>
      </c>
      <c r="AJ291" s="55">
        <v>0</v>
      </c>
      <c r="AK291" s="55">
        <v>0</v>
      </c>
      <c r="AL291" s="55">
        <v>0</v>
      </c>
      <c r="AM291" s="55">
        <v>2709828.5369000002</v>
      </c>
      <c r="AN291" s="63">
        <v>268785.07740000001</v>
      </c>
      <c r="AO291" s="64">
        <v>511457.73428998003</v>
      </c>
      <c r="AP291" s="61">
        <f>+N291-'Приложение №2'!E291</f>
        <v>0</v>
      </c>
      <c r="AQ291" s="1">
        <f>1230267.29-95960.13</f>
        <v>1134307.1600000001</v>
      </c>
      <c r="AR291" s="3">
        <f t="shared" si="89"/>
        <v>266515.8</v>
      </c>
      <c r="AS291" s="3">
        <f t="shared" si="90"/>
        <v>9406440</v>
      </c>
      <c r="AT291" s="6">
        <f t="shared" si="81"/>
        <v>1665497.5826097</v>
      </c>
      <c r="AU291" s="6" t="e">
        <v>#REF!</v>
      </c>
      <c r="AV291" s="6" t="e">
        <v>#REF!</v>
      </c>
      <c r="AW291" s="62">
        <f t="shared" si="82"/>
        <v>25889637.380291998</v>
      </c>
      <c r="AX291" s="55">
        <v>6438393.5627340004</v>
      </c>
      <c r="AY291" s="55">
        <v>2323154.7703559999</v>
      </c>
      <c r="AZ291" s="55">
        <v>2462247.36</v>
      </c>
      <c r="BA291" s="55">
        <v>1568819.974554</v>
      </c>
      <c r="BB291" s="55"/>
      <c r="BC291" s="55"/>
      <c r="BD291" s="55">
        <v>226016.53592028</v>
      </c>
      <c r="BE291" s="55">
        <v>0</v>
      </c>
      <c r="BF291" s="55">
        <v>11889999.423917999</v>
      </c>
      <c r="BG291" s="55">
        <v>0</v>
      </c>
      <c r="BH291" s="55">
        <v>0</v>
      </c>
      <c r="BI291" s="55">
        <v>0</v>
      </c>
      <c r="BJ291" s="55">
        <v>386371.78509999998</v>
      </c>
      <c r="BK291" s="63">
        <v>50356.725100000003</v>
      </c>
      <c r="BL291" s="111">
        <v>544277.24260971998</v>
      </c>
      <c r="BM291" s="62">
        <f t="shared" si="83"/>
        <v>20619478.151819997</v>
      </c>
      <c r="BN291" s="55">
        <v>6438393.5627340004</v>
      </c>
      <c r="BO291" s="55">
        <v>2323154.7703559999</v>
      </c>
      <c r="BP291" s="55">
        <v>2462247.36</v>
      </c>
      <c r="BQ291" s="55">
        <v>1533694.94</v>
      </c>
      <c r="BR291" s="55"/>
      <c r="BS291" s="55"/>
      <c r="BT291" s="55">
        <v>226016.53592028</v>
      </c>
      <c r="BU291" s="55">
        <v>0</v>
      </c>
      <c r="BV291" s="55">
        <v>6654965.2300000004</v>
      </c>
      <c r="BW291" s="55">
        <v>0</v>
      </c>
      <c r="BX291" s="55">
        <v>0</v>
      </c>
      <c r="BY291" s="55">
        <v>0</v>
      </c>
      <c r="BZ291" s="55">
        <v>386371.78509999998</v>
      </c>
      <c r="CA291" s="63">
        <v>50356.725100000003</v>
      </c>
      <c r="CB291" s="64">
        <v>544277.24260971998</v>
      </c>
      <c r="CD291" s="133"/>
      <c r="CE291" s="133"/>
      <c r="CF291" s="133"/>
    </row>
    <row r="292" spans="1:84" x14ac:dyDescent="0.25">
      <c r="A292" s="105">
        <f t="shared" si="84"/>
        <v>273</v>
      </c>
      <c r="B292" s="106">
        <f t="shared" si="87"/>
        <v>85</v>
      </c>
      <c r="C292" s="53" t="s">
        <v>108</v>
      </c>
      <c r="D292" s="107" t="s">
        <v>367</v>
      </c>
      <c r="E292" s="54">
        <v>1970</v>
      </c>
      <c r="F292" s="54">
        <v>2013</v>
      </c>
      <c r="G292" s="54" t="s">
        <v>64</v>
      </c>
      <c r="H292" s="54">
        <v>4</v>
      </c>
      <c r="I292" s="54">
        <v>4</v>
      </c>
      <c r="J292" s="55">
        <v>2981.5</v>
      </c>
      <c r="K292" s="55">
        <v>2738.8</v>
      </c>
      <c r="L292" s="55">
        <v>0</v>
      </c>
      <c r="M292" s="56">
        <v>153</v>
      </c>
      <c r="N292" s="108">
        <f t="shared" si="80"/>
        <v>16617668.74080264</v>
      </c>
      <c r="O292" s="63"/>
      <c r="P292" s="63">
        <v>8901315</v>
      </c>
      <c r="Q292" s="63"/>
      <c r="R292" s="63">
        <v>1403777.48</v>
      </c>
      <c r="S292" s="63">
        <v>6312576.2608026396</v>
      </c>
      <c r="T292" s="63"/>
      <c r="U292" s="55">
        <v>10190.510401866501</v>
      </c>
      <c r="V292" s="55">
        <v>10190.510401866501</v>
      </c>
      <c r="W292" s="109">
        <v>2023</v>
      </c>
      <c r="X292" s="6" t="e">
        <v>#REF!</v>
      </c>
      <c r="Z292" s="62">
        <f t="shared" si="88"/>
        <v>37346887.229999997</v>
      </c>
      <c r="AA292" s="55">
        <v>6507682.1298052203</v>
      </c>
      <c r="AB292" s="55">
        <v>2318954.6795356199</v>
      </c>
      <c r="AC292" s="55">
        <v>2422791.6618380998</v>
      </c>
      <c r="AD292" s="55">
        <v>1516820.76651756</v>
      </c>
      <c r="AE292" s="55">
        <v>928046.31598098006</v>
      </c>
      <c r="AF292" s="55"/>
      <c r="AG292" s="55">
        <v>249717.57989135999</v>
      </c>
      <c r="AH292" s="55">
        <v>0</v>
      </c>
      <c r="AI292" s="55">
        <v>11897033.101632001</v>
      </c>
      <c r="AJ292" s="55">
        <v>0</v>
      </c>
      <c r="AK292" s="55">
        <v>0</v>
      </c>
      <c r="AL292" s="55">
        <v>6662611.7855203198</v>
      </c>
      <c r="AM292" s="55">
        <v>3758971.1671000002</v>
      </c>
      <c r="AN292" s="63">
        <v>373468.87229999999</v>
      </c>
      <c r="AO292" s="64">
        <v>710789.16987883998</v>
      </c>
      <c r="AP292" s="61">
        <f>+N292-'Приложение №2'!E292</f>
        <v>0</v>
      </c>
      <c r="AQ292" s="1">
        <f>1220932.16-96512.28</f>
        <v>1124419.8799999999</v>
      </c>
      <c r="AR292" s="3">
        <f t="shared" si="89"/>
        <v>279357.59999999998</v>
      </c>
      <c r="AS292" s="3">
        <f t="shared" si="90"/>
        <v>9859680</v>
      </c>
      <c r="AT292" s="6">
        <f t="shared" si="81"/>
        <v>-3547103.7391973604</v>
      </c>
      <c r="AU292" s="6" t="e">
        <v>#REF!</v>
      </c>
      <c r="AV292" s="6" t="e">
        <v>#REF!</v>
      </c>
      <c r="AW292" s="62">
        <f t="shared" si="82"/>
        <v>34130312.758029997</v>
      </c>
      <c r="AX292" s="55">
        <v>7094689.9108260004</v>
      </c>
      <c r="AY292" s="55">
        <v>2547296.6905260002</v>
      </c>
      <c r="AZ292" s="55">
        <v>1704018.34</v>
      </c>
      <c r="BA292" s="55">
        <v>1334515.24</v>
      </c>
      <c r="BB292" s="55"/>
      <c r="BC292" s="55"/>
      <c r="BD292" s="55">
        <v>249717.57989135999</v>
      </c>
      <c r="BE292" s="55">
        <v>0</v>
      </c>
      <c r="BF292" s="55">
        <v>13087063.849398</v>
      </c>
      <c r="BG292" s="55">
        <v>0</v>
      </c>
      <c r="BH292" s="55">
        <v>0</v>
      </c>
      <c r="BI292" s="55">
        <v>7353384.3865860002</v>
      </c>
      <c r="BJ292" s="55"/>
      <c r="BK292" s="63"/>
      <c r="BL292" s="111">
        <v>759626.76080264</v>
      </c>
      <c r="BM292" s="62">
        <f t="shared" si="83"/>
        <v>26509372.922046006</v>
      </c>
      <c r="BN292" s="55">
        <v>7094689.9108260004</v>
      </c>
      <c r="BO292" s="55">
        <v>2547296.6905260002</v>
      </c>
      <c r="BP292" s="55">
        <v>1704018.34</v>
      </c>
      <c r="BQ292" s="55">
        <v>1334515.24</v>
      </c>
      <c r="BR292" s="55"/>
      <c r="BS292" s="55"/>
      <c r="BT292" s="55">
        <v>249717.57989135999</v>
      </c>
      <c r="BU292" s="55">
        <v>0</v>
      </c>
      <c r="BV292" s="55">
        <v>6866520.9800000004</v>
      </c>
      <c r="BW292" s="55">
        <v>0</v>
      </c>
      <c r="BX292" s="55">
        <v>0</v>
      </c>
      <c r="BY292" s="55">
        <v>5952987.4199999999</v>
      </c>
      <c r="BZ292" s="55"/>
      <c r="CA292" s="63"/>
      <c r="CB292" s="64">
        <v>759626.76080264</v>
      </c>
      <c r="CD292" s="117"/>
      <c r="CE292" s="133"/>
    </row>
    <row r="293" spans="1:84" ht="16.5" x14ac:dyDescent="0.25">
      <c r="A293" s="105">
        <f t="shared" si="84"/>
        <v>274</v>
      </c>
      <c r="B293" s="106">
        <f t="shared" si="87"/>
        <v>86</v>
      </c>
      <c r="C293" s="53" t="s">
        <v>108</v>
      </c>
      <c r="D293" s="53" t="s">
        <v>368</v>
      </c>
      <c r="E293" s="54">
        <v>1972</v>
      </c>
      <c r="F293" s="54">
        <v>2013</v>
      </c>
      <c r="G293" s="54" t="s">
        <v>64</v>
      </c>
      <c r="H293" s="54">
        <v>4</v>
      </c>
      <c r="I293" s="54">
        <v>4</v>
      </c>
      <c r="J293" s="55">
        <v>4795.5600000000004</v>
      </c>
      <c r="K293" s="55">
        <v>3559.4</v>
      </c>
      <c r="L293" s="55">
        <v>0</v>
      </c>
      <c r="M293" s="56">
        <v>159</v>
      </c>
      <c r="N293" s="112">
        <f t="shared" si="80"/>
        <v>1519846.3999999999</v>
      </c>
      <c r="O293" s="55"/>
      <c r="P293" s="63"/>
      <c r="Q293" s="63"/>
      <c r="R293" s="63">
        <v>1256015.48</v>
      </c>
      <c r="S293" s="63">
        <v>263830.92</v>
      </c>
      <c r="T293" s="63"/>
      <c r="U293" s="55">
        <v>426.99511153565197</v>
      </c>
      <c r="V293" s="55">
        <v>426.99511153565197</v>
      </c>
      <c r="W293" s="109">
        <v>2023</v>
      </c>
      <c r="X293" s="6" t="e">
        <v>#REF!</v>
      </c>
      <c r="Z293" s="62">
        <f t="shared" si="88"/>
        <v>1454339.57</v>
      </c>
      <c r="AA293" s="55">
        <v>0</v>
      </c>
      <c r="AB293" s="55">
        <v>0</v>
      </c>
      <c r="AC293" s="55">
        <v>0</v>
      </c>
      <c r="AD293" s="55">
        <v>0</v>
      </c>
      <c r="AE293" s="55">
        <v>1256015.48</v>
      </c>
      <c r="AF293" s="55"/>
      <c r="AG293" s="55">
        <v>0</v>
      </c>
      <c r="AH293" s="55">
        <v>0</v>
      </c>
      <c r="AI293" s="55">
        <v>0</v>
      </c>
      <c r="AJ293" s="55">
        <v>0</v>
      </c>
      <c r="AK293" s="55">
        <v>0</v>
      </c>
      <c r="AL293" s="55">
        <v>0</v>
      </c>
      <c r="AM293" s="55">
        <v>189224.09</v>
      </c>
      <c r="AN293" s="63">
        <v>2000</v>
      </c>
      <c r="AO293" s="64">
        <v>7100</v>
      </c>
      <c r="AP293" s="61">
        <f>+N293-'Приложение №2'!E293</f>
        <v>0</v>
      </c>
      <c r="AQ293" s="1">
        <v>1597911.73</v>
      </c>
      <c r="AR293" s="3">
        <f t="shared" si="89"/>
        <v>363058.8</v>
      </c>
      <c r="AS293" s="3">
        <f t="shared" si="90"/>
        <v>12813840</v>
      </c>
      <c r="AT293" s="6">
        <f t="shared" si="81"/>
        <v>-12550009.08</v>
      </c>
      <c r="AU293" s="6" t="e">
        <v>#REF!</v>
      </c>
      <c r="AV293" s="6" t="e">
        <v>#REF!</v>
      </c>
      <c r="AW293" s="62">
        <f t="shared" si="82"/>
        <v>1519846.3999999999</v>
      </c>
      <c r="AX293" s="55">
        <v>0</v>
      </c>
      <c r="AY293" s="55">
        <v>0</v>
      </c>
      <c r="AZ293" s="55">
        <v>0</v>
      </c>
      <c r="BA293" s="55">
        <v>0</v>
      </c>
      <c r="BB293" s="55">
        <v>1512746.4</v>
      </c>
      <c r="BC293" s="55"/>
      <c r="BD293" s="55"/>
      <c r="BE293" s="55">
        <v>0</v>
      </c>
      <c r="BF293" s="55">
        <v>0</v>
      </c>
      <c r="BG293" s="55">
        <v>0</v>
      </c>
      <c r="BH293" s="55">
        <v>0</v>
      </c>
      <c r="BI293" s="55">
        <v>0</v>
      </c>
      <c r="BJ293" s="55"/>
      <c r="BK293" s="63"/>
      <c r="BL293" s="111">
        <v>7100</v>
      </c>
      <c r="BM293" s="62">
        <f t="shared" si="83"/>
        <v>1519846.3999999999</v>
      </c>
      <c r="BN293" s="55">
        <v>0</v>
      </c>
      <c r="BO293" s="55">
        <v>0</v>
      </c>
      <c r="BP293" s="55">
        <v>0</v>
      </c>
      <c r="BQ293" s="55">
        <v>0</v>
      </c>
      <c r="BR293" s="55">
        <v>1512746.4</v>
      </c>
      <c r="BS293" s="55"/>
      <c r="BT293" s="55"/>
      <c r="BU293" s="55">
        <v>0</v>
      </c>
      <c r="BV293" s="55">
        <v>0</v>
      </c>
      <c r="BW293" s="55">
        <v>0</v>
      </c>
      <c r="BX293" s="55">
        <v>0</v>
      </c>
      <c r="BY293" s="55">
        <v>0</v>
      </c>
      <c r="BZ293" s="55"/>
      <c r="CA293" s="63"/>
      <c r="CB293" s="64">
        <v>7100</v>
      </c>
      <c r="CD293" s="117"/>
      <c r="CE293" s="126"/>
    </row>
    <row r="294" spans="1:84" x14ac:dyDescent="0.25">
      <c r="A294" s="105">
        <f t="shared" si="84"/>
        <v>275</v>
      </c>
      <c r="B294" s="106">
        <f t="shared" si="87"/>
        <v>87</v>
      </c>
      <c r="C294" s="53" t="s">
        <v>108</v>
      </c>
      <c r="D294" s="53" t="s">
        <v>170</v>
      </c>
      <c r="E294" s="54">
        <v>1973</v>
      </c>
      <c r="F294" s="54">
        <v>2013</v>
      </c>
      <c r="G294" s="54" t="s">
        <v>64</v>
      </c>
      <c r="H294" s="54">
        <v>4</v>
      </c>
      <c r="I294" s="54">
        <v>4</v>
      </c>
      <c r="J294" s="55">
        <v>4678.76</v>
      </c>
      <c r="K294" s="55">
        <v>3451.8</v>
      </c>
      <c r="L294" s="55">
        <v>0</v>
      </c>
      <c r="M294" s="56">
        <v>168</v>
      </c>
      <c r="N294" s="112">
        <f t="shared" si="80"/>
        <v>1520139.61</v>
      </c>
      <c r="O294" s="55"/>
      <c r="P294" s="63"/>
      <c r="Q294" s="63"/>
      <c r="R294" s="63">
        <v>0</v>
      </c>
      <c r="S294" s="63">
        <v>1520139.61</v>
      </c>
      <c r="T294" s="63"/>
      <c r="U294" s="55">
        <v>440.39040790312299</v>
      </c>
      <c r="V294" s="55">
        <v>440.39040790312299</v>
      </c>
      <c r="W294" s="109">
        <v>2023</v>
      </c>
      <c r="X294" s="6" t="e">
        <v>#REF!</v>
      </c>
      <c r="Z294" s="62">
        <f t="shared" si="88"/>
        <v>1494080.68</v>
      </c>
      <c r="AA294" s="55">
        <v>0</v>
      </c>
      <c r="AB294" s="55">
        <v>0</v>
      </c>
      <c r="AC294" s="55">
        <v>0</v>
      </c>
      <c r="AD294" s="55">
        <v>0</v>
      </c>
      <c r="AE294" s="55">
        <v>1274871.31</v>
      </c>
      <c r="AF294" s="55"/>
      <c r="AG294" s="55">
        <v>0</v>
      </c>
      <c r="AH294" s="55">
        <v>0</v>
      </c>
      <c r="AI294" s="55">
        <v>0</v>
      </c>
      <c r="AJ294" s="55">
        <v>0</v>
      </c>
      <c r="AK294" s="55">
        <v>0</v>
      </c>
      <c r="AL294" s="55">
        <v>0</v>
      </c>
      <c r="AM294" s="55">
        <v>209316.16</v>
      </c>
      <c r="AN294" s="63">
        <v>2500</v>
      </c>
      <c r="AO294" s="64">
        <v>7393.21</v>
      </c>
      <c r="AP294" s="61">
        <f>+N294-'Приложение №2'!E294</f>
        <v>0</v>
      </c>
      <c r="AQ294" s="6">
        <f>1522745.97-R111</f>
        <v>-352083.60000000009</v>
      </c>
      <c r="AR294" s="3">
        <f t="shared" si="89"/>
        <v>352083.6</v>
      </c>
      <c r="AS294" s="3">
        <f>+(K294*10+L294*20)*12*30-S111</f>
        <v>12356573.029999999</v>
      </c>
      <c r="AT294" s="6">
        <f t="shared" si="81"/>
        <v>-10836433.42</v>
      </c>
      <c r="AU294" s="6" t="e">
        <v>#REF!</v>
      </c>
      <c r="AV294" s="6" t="e">
        <v>#REF!</v>
      </c>
      <c r="AW294" s="62">
        <f t="shared" si="82"/>
        <v>1520139.6099999999</v>
      </c>
      <c r="AX294" s="55">
        <v>0</v>
      </c>
      <c r="AY294" s="55">
        <v>0</v>
      </c>
      <c r="AZ294" s="55">
        <v>0</v>
      </c>
      <c r="BA294" s="55">
        <v>0</v>
      </c>
      <c r="BB294" s="55">
        <v>1512746.4</v>
      </c>
      <c r="BC294" s="55"/>
      <c r="BD294" s="55"/>
      <c r="BE294" s="55">
        <v>0</v>
      </c>
      <c r="BF294" s="55">
        <v>0</v>
      </c>
      <c r="BG294" s="55">
        <v>0</v>
      </c>
      <c r="BH294" s="55">
        <v>0</v>
      </c>
      <c r="BI294" s="55"/>
      <c r="BJ294" s="55"/>
      <c r="BK294" s="63"/>
      <c r="BL294" s="111">
        <v>7393.21</v>
      </c>
      <c r="BM294" s="62">
        <f t="shared" si="83"/>
        <v>1520139.6099999999</v>
      </c>
      <c r="BN294" s="55">
        <v>0</v>
      </c>
      <c r="BO294" s="55">
        <v>0</v>
      </c>
      <c r="BP294" s="55">
        <v>0</v>
      </c>
      <c r="BQ294" s="55">
        <v>0</v>
      </c>
      <c r="BR294" s="55">
        <v>1512746.4</v>
      </c>
      <c r="BS294" s="55"/>
      <c r="BT294" s="55"/>
      <c r="BU294" s="55">
        <v>0</v>
      </c>
      <c r="BV294" s="55">
        <v>0</v>
      </c>
      <c r="BW294" s="55">
        <v>0</v>
      </c>
      <c r="BX294" s="55">
        <v>0</v>
      </c>
      <c r="BY294" s="55"/>
      <c r="BZ294" s="55"/>
      <c r="CA294" s="63"/>
      <c r="CB294" s="64">
        <v>7393.21</v>
      </c>
      <c r="CD294" s="6"/>
    </row>
    <row r="295" spans="1:84" ht="16.5" x14ac:dyDescent="0.25">
      <c r="A295" s="105">
        <f t="shared" si="84"/>
        <v>276</v>
      </c>
      <c r="B295" s="106">
        <f t="shared" si="87"/>
        <v>88</v>
      </c>
      <c r="C295" s="53" t="s">
        <v>108</v>
      </c>
      <c r="D295" s="53" t="s">
        <v>167</v>
      </c>
      <c r="E295" s="54">
        <v>1992</v>
      </c>
      <c r="F295" s="54">
        <v>2013</v>
      </c>
      <c r="G295" s="54" t="s">
        <v>64</v>
      </c>
      <c r="H295" s="54">
        <v>5</v>
      </c>
      <c r="I295" s="54">
        <v>4</v>
      </c>
      <c r="J295" s="55">
        <v>5274.7</v>
      </c>
      <c r="K295" s="55">
        <v>4397.95</v>
      </c>
      <c r="L295" s="55">
        <v>82.7</v>
      </c>
      <c r="M295" s="56">
        <v>351</v>
      </c>
      <c r="N295" s="112">
        <f t="shared" si="80"/>
        <v>7077032.3628470805</v>
      </c>
      <c r="O295" s="55"/>
      <c r="P295" s="63"/>
      <c r="Q295" s="63"/>
      <c r="R295" s="63"/>
      <c r="S295" s="63">
        <v>5018775.67284708</v>
      </c>
      <c r="T295" s="63">
        <v>2058256.69</v>
      </c>
      <c r="U295" s="63">
        <v>2328.4211069481198</v>
      </c>
      <c r="V295" s="63">
        <v>2328.4211069481198</v>
      </c>
      <c r="W295" s="109">
        <v>2023</v>
      </c>
      <c r="X295" s="6" t="e">
        <v>#REF!</v>
      </c>
      <c r="Z295" s="62">
        <f t="shared" si="88"/>
        <v>73758689.840000004</v>
      </c>
      <c r="AA295" s="55">
        <v>6929151.7355478602</v>
      </c>
      <c r="AB295" s="55">
        <v>4007317.87339926</v>
      </c>
      <c r="AC295" s="55">
        <v>4236031.7089398</v>
      </c>
      <c r="AD295" s="55">
        <v>3230010.1851276001</v>
      </c>
      <c r="AE295" s="55">
        <v>0</v>
      </c>
      <c r="AF295" s="55"/>
      <c r="AG295" s="55">
        <v>344307.72949692002</v>
      </c>
      <c r="AH295" s="55">
        <v>0</v>
      </c>
      <c r="AI295" s="55">
        <v>12334945.070788199</v>
      </c>
      <c r="AJ295" s="55">
        <v>0</v>
      </c>
      <c r="AK295" s="55">
        <v>23948365.8336569</v>
      </c>
      <c r="AL295" s="55">
        <v>9418585.1320217997</v>
      </c>
      <c r="AM295" s="55">
        <v>7163024.8004000001</v>
      </c>
      <c r="AN295" s="63">
        <v>737586.89839999995</v>
      </c>
      <c r="AO295" s="64">
        <v>1409362.8722216799</v>
      </c>
      <c r="AP295" s="61">
        <f>+N295-'Приложение №2'!E295</f>
        <v>0</v>
      </c>
      <c r="AQ295" s="6">
        <f>1987606.27-R108</f>
        <v>-370610.70000000019</v>
      </c>
      <c r="AR295" s="3">
        <f t="shared" si="89"/>
        <v>465461.7</v>
      </c>
      <c r="AS295" s="3">
        <f>+(K295*10+L295*20)*12*30-S108</f>
        <v>3034035.8371529002</v>
      </c>
      <c r="AT295" s="6">
        <f t="shared" si="81"/>
        <v>1984739.8356941799</v>
      </c>
      <c r="AU295" s="6" t="e">
        <v>#REF!</v>
      </c>
      <c r="AV295" s="6" t="e">
        <v>#REF!</v>
      </c>
      <c r="AW295" s="62">
        <f t="shared" si="82"/>
        <v>11699117.62284708</v>
      </c>
      <c r="AX295" s="55">
        <v>6146198.4400000004</v>
      </c>
      <c r="AY295" s="55">
        <v>3984439.31</v>
      </c>
      <c r="AZ295" s="55"/>
      <c r="BA295" s="55"/>
      <c r="BB295" s="55"/>
      <c r="BC295" s="55"/>
      <c r="BD295" s="55"/>
      <c r="BE295" s="55"/>
      <c r="BF295" s="55"/>
      <c r="BG295" s="55"/>
      <c r="BH295" s="55"/>
      <c r="BI295" s="55"/>
      <c r="BJ295" s="55"/>
      <c r="BK295" s="63"/>
      <c r="BL295" s="111">
        <v>1568479.87284708</v>
      </c>
      <c r="BM295" s="62">
        <f t="shared" si="83"/>
        <v>10432840.03284708</v>
      </c>
      <c r="BN295" s="55">
        <v>4879920.8499999996</v>
      </c>
      <c r="BO295" s="55">
        <v>3984439.31</v>
      </c>
      <c r="BP295" s="55"/>
      <c r="BQ295" s="55"/>
      <c r="BR295" s="55"/>
      <c r="BS295" s="55"/>
      <c r="BT295" s="55"/>
      <c r="BU295" s="55"/>
      <c r="BV295" s="55"/>
      <c r="BW295" s="55"/>
      <c r="BX295" s="55"/>
      <c r="BY295" s="55"/>
      <c r="BZ295" s="55"/>
      <c r="CA295" s="63"/>
      <c r="CB295" s="64">
        <v>1568479.87284708</v>
      </c>
      <c r="CD295" s="126"/>
      <c r="CE295" s="3"/>
    </row>
    <row r="296" spans="1:84" x14ac:dyDescent="0.25">
      <c r="A296" s="105">
        <f t="shared" si="84"/>
        <v>277</v>
      </c>
      <c r="B296" s="106">
        <f t="shared" si="87"/>
        <v>89</v>
      </c>
      <c r="C296" s="53" t="s">
        <v>108</v>
      </c>
      <c r="D296" s="53" t="s">
        <v>168</v>
      </c>
      <c r="E296" s="54">
        <v>1987</v>
      </c>
      <c r="F296" s="54">
        <v>1987</v>
      </c>
      <c r="G296" s="54" t="s">
        <v>64</v>
      </c>
      <c r="H296" s="54">
        <v>5</v>
      </c>
      <c r="I296" s="54">
        <v>3</v>
      </c>
      <c r="J296" s="55">
        <v>5170.7</v>
      </c>
      <c r="K296" s="55">
        <v>2871.7</v>
      </c>
      <c r="L296" s="55">
        <v>2299</v>
      </c>
      <c r="M296" s="56">
        <v>334</v>
      </c>
      <c r="N296" s="112">
        <f t="shared" si="80"/>
        <v>5208321.6349089202</v>
      </c>
      <c r="O296" s="63"/>
      <c r="P296" s="63">
        <v>1876558.66</v>
      </c>
      <c r="Q296" s="63"/>
      <c r="R296" s="63">
        <v>1137386.69</v>
      </c>
      <c r="S296" s="63">
        <v>1759199.3849089199</v>
      </c>
      <c r="T296" s="63">
        <v>435176.9</v>
      </c>
      <c r="U296" s="63">
        <v>2143.11037672055</v>
      </c>
      <c r="V296" s="63">
        <v>2143.11037672055</v>
      </c>
      <c r="W296" s="109">
        <v>2023</v>
      </c>
      <c r="X296" s="6" t="e">
        <v>#REF!</v>
      </c>
      <c r="Z296" s="62">
        <f t="shared" si="88"/>
        <v>44376055.650000006</v>
      </c>
      <c r="AA296" s="55">
        <v>6705846.8643129598</v>
      </c>
      <c r="AB296" s="55">
        <v>2389568.92118868</v>
      </c>
      <c r="AC296" s="55">
        <v>2496567.8323118398</v>
      </c>
      <c r="AD296" s="55">
        <v>1563009.3139332</v>
      </c>
      <c r="AE296" s="55">
        <v>0</v>
      </c>
      <c r="AF296" s="55"/>
      <c r="AG296" s="55">
        <v>257321.70331308001</v>
      </c>
      <c r="AH296" s="55">
        <v>0</v>
      </c>
      <c r="AI296" s="55">
        <v>12259308.387853799</v>
      </c>
      <c r="AJ296" s="55">
        <v>0</v>
      </c>
      <c r="AK296" s="55">
        <v>6365089.67499342</v>
      </c>
      <c r="AL296" s="55">
        <v>6865494.2663706001</v>
      </c>
      <c r="AM296" s="55">
        <v>4179375.6532000001</v>
      </c>
      <c r="AN296" s="63">
        <v>443760.55650000001</v>
      </c>
      <c r="AO296" s="64">
        <v>850712.47602241999</v>
      </c>
      <c r="AP296" s="61">
        <f>+N296-'Приложение №2'!E296</f>
        <v>0</v>
      </c>
      <c r="AQ296" s="6">
        <f>2578731.31-R109</f>
        <v>375477.29000000004</v>
      </c>
      <c r="AR296" s="3">
        <f t="shared" si="89"/>
        <v>761909.4</v>
      </c>
      <c r="AS296" s="3">
        <f>+(K296*10+L296*20)*12*30-S109</f>
        <v>17973380.042891078</v>
      </c>
      <c r="AT296" s="6">
        <f t="shared" si="81"/>
        <v>-16214180.657982158</v>
      </c>
      <c r="AU296" s="6" t="e">
        <v>#REF!</v>
      </c>
      <c r="AV296" s="6" t="e">
        <v>#REF!</v>
      </c>
      <c r="AW296" s="62">
        <f t="shared" si="82"/>
        <v>11081380.824908921</v>
      </c>
      <c r="AX296" s="55">
        <v>5873059.1900000004</v>
      </c>
      <c r="AY296" s="55">
        <v>2875942.18</v>
      </c>
      <c r="AZ296" s="55"/>
      <c r="BA296" s="55">
        <v>1546747.33</v>
      </c>
      <c r="BB296" s="55"/>
      <c r="BC296" s="55"/>
      <c r="BD296" s="55"/>
      <c r="BE296" s="55"/>
      <c r="BF296" s="55"/>
      <c r="BG296" s="55"/>
      <c r="BH296" s="55"/>
      <c r="BI296" s="55"/>
      <c r="BJ296" s="55"/>
      <c r="BK296" s="63"/>
      <c r="BL296" s="111">
        <v>785632.12490892003</v>
      </c>
      <c r="BM296" s="62">
        <f t="shared" si="83"/>
        <v>11081380.824908921</v>
      </c>
      <c r="BN296" s="55">
        <v>5873059.1900000004</v>
      </c>
      <c r="BO296" s="55">
        <v>2875942.18</v>
      </c>
      <c r="BP296" s="55"/>
      <c r="BQ296" s="55">
        <v>1546747.33</v>
      </c>
      <c r="BR296" s="55"/>
      <c r="BS296" s="55"/>
      <c r="BT296" s="55"/>
      <c r="BU296" s="55"/>
      <c r="BV296" s="55"/>
      <c r="BW296" s="55"/>
      <c r="BX296" s="55"/>
      <c r="BY296" s="55"/>
      <c r="BZ296" s="55"/>
      <c r="CA296" s="63"/>
      <c r="CB296" s="64">
        <v>785632.12490892003</v>
      </c>
      <c r="CE296" s="6"/>
    </row>
    <row r="297" spans="1:84" x14ac:dyDescent="0.25">
      <c r="A297" s="105">
        <f t="shared" si="84"/>
        <v>278</v>
      </c>
      <c r="B297" s="106">
        <f t="shared" si="87"/>
        <v>90</v>
      </c>
      <c r="C297" s="53" t="s">
        <v>108</v>
      </c>
      <c r="D297" s="53" t="s">
        <v>173</v>
      </c>
      <c r="E297" s="54">
        <v>1980</v>
      </c>
      <c r="F297" s="54">
        <v>2008</v>
      </c>
      <c r="G297" s="54" t="s">
        <v>64</v>
      </c>
      <c r="H297" s="54">
        <v>5</v>
      </c>
      <c r="I297" s="54">
        <v>6</v>
      </c>
      <c r="J297" s="55">
        <v>7149.4</v>
      </c>
      <c r="K297" s="55">
        <v>6325.2</v>
      </c>
      <c r="L297" s="55">
        <v>0</v>
      </c>
      <c r="M297" s="56">
        <v>293</v>
      </c>
      <c r="N297" s="112">
        <f t="shared" si="80"/>
        <v>13711741.662860561</v>
      </c>
      <c r="O297" s="55"/>
      <c r="P297" s="63">
        <f>18366557.28-16152899.91</f>
        <v>2213657.370000001</v>
      </c>
      <c r="Q297" s="63"/>
      <c r="R297" s="63">
        <v>2028430.14</v>
      </c>
      <c r="S297" s="63">
        <v>9469654.1528605595</v>
      </c>
      <c r="T297" s="63"/>
      <c r="U297" s="55">
        <v>10739.0943856371</v>
      </c>
      <c r="V297" s="55">
        <v>10739.0943856371</v>
      </c>
      <c r="W297" s="109">
        <v>2023</v>
      </c>
      <c r="X297" s="6" t="e">
        <v>#REF!</v>
      </c>
      <c r="Z297" s="62">
        <f t="shared" si="88"/>
        <v>114548451.67000006</v>
      </c>
      <c r="AA297" s="55">
        <v>10489330.258041199</v>
      </c>
      <c r="AB297" s="55">
        <v>6066266.4462859202</v>
      </c>
      <c r="AC297" s="55">
        <v>6412492.7922270596</v>
      </c>
      <c r="AD297" s="55">
        <v>4889580.2685995996</v>
      </c>
      <c r="AE297" s="55">
        <v>1953287.2251610199</v>
      </c>
      <c r="AF297" s="55"/>
      <c r="AG297" s="55">
        <v>521212.05792599998</v>
      </c>
      <c r="AH297" s="55">
        <v>0</v>
      </c>
      <c r="AI297" s="55">
        <v>18672604.894377001</v>
      </c>
      <c r="AJ297" s="55">
        <v>0</v>
      </c>
      <c r="AK297" s="55">
        <v>36252968.326471299</v>
      </c>
      <c r="AL297" s="55">
        <v>14257827.475101</v>
      </c>
      <c r="AM297" s="55">
        <v>11711193.4519</v>
      </c>
      <c r="AN297" s="63">
        <v>1145484.5167</v>
      </c>
      <c r="AO297" s="64">
        <v>2176203.9572099601</v>
      </c>
      <c r="AP297" s="61">
        <f>+N297-'Приложение №2'!E297</f>
        <v>0</v>
      </c>
      <c r="AQ297" s="6">
        <f>3044323.81-R114</f>
        <v>1383259.74</v>
      </c>
      <c r="AR297" s="3">
        <f t="shared" si="89"/>
        <v>645170.4</v>
      </c>
      <c r="AS297" s="3">
        <f>+(K297*10+L297*20)*12*30-S114</f>
        <v>5962476.7432448007</v>
      </c>
      <c r="AT297" s="6">
        <f t="shared" si="81"/>
        <v>3507177.4096157588</v>
      </c>
      <c r="AU297" s="6" t="e">
        <v>#REF!</v>
      </c>
      <c r="AV297" s="6" t="e">
        <v>#REF!</v>
      </c>
      <c r="AW297" s="62">
        <f t="shared" si="82"/>
        <v>67926919.808031857</v>
      </c>
      <c r="AX297" s="55">
        <v>7864219.1399999997</v>
      </c>
      <c r="AY297" s="53"/>
      <c r="AZ297" s="55">
        <v>2874656.38</v>
      </c>
      <c r="BA297" s="55">
        <v>1502641.16</v>
      </c>
      <c r="BB297" s="53"/>
      <c r="BC297" s="53"/>
      <c r="BD297" s="53"/>
      <c r="BE297" s="53"/>
      <c r="BF297" s="53"/>
      <c r="BG297" s="53"/>
      <c r="BH297" s="57">
        <v>36252968.326471299</v>
      </c>
      <c r="BI297" s="57">
        <v>15215386.67</v>
      </c>
      <c r="BJ297" s="55">
        <v>2584774.6793999998</v>
      </c>
      <c r="BK297" s="55">
        <v>286926.38929999998</v>
      </c>
      <c r="BL297" s="111">
        <f>552568.07023182+792778.99262874</f>
        <v>1345347.0628605601</v>
      </c>
      <c r="BM297" s="62">
        <f t="shared" si="83"/>
        <v>67926919.808031857</v>
      </c>
      <c r="BN297" s="55">
        <v>7864219.1399999997</v>
      </c>
      <c r="BO297" s="53"/>
      <c r="BP297" s="55">
        <v>2874656.38</v>
      </c>
      <c r="BQ297" s="55">
        <v>1502641.16</v>
      </c>
      <c r="BR297" s="53"/>
      <c r="BS297" s="53"/>
      <c r="BT297" s="53"/>
      <c r="BU297" s="53"/>
      <c r="BV297" s="53"/>
      <c r="BW297" s="53"/>
      <c r="BX297" s="57">
        <v>36252968.326471299</v>
      </c>
      <c r="BY297" s="57">
        <v>15215386.67</v>
      </c>
      <c r="BZ297" s="55">
        <v>2584774.6793999998</v>
      </c>
      <c r="CA297" s="55">
        <v>286926.38929999998</v>
      </c>
      <c r="CB297" s="64">
        <f>552568.07023182+792778.99262874</f>
        <v>1345347.0628605601</v>
      </c>
      <c r="CD297" s="6"/>
    </row>
    <row r="298" spans="1:84" s="69" customFormat="1" x14ac:dyDescent="0.25">
      <c r="A298" s="105">
        <f t="shared" si="84"/>
        <v>279</v>
      </c>
      <c r="B298" s="106">
        <f t="shared" si="87"/>
        <v>91</v>
      </c>
      <c r="C298" s="53" t="s">
        <v>108</v>
      </c>
      <c r="D298" s="53" t="s">
        <v>369</v>
      </c>
      <c r="E298" s="54" t="s">
        <v>370</v>
      </c>
      <c r="F298" s="54"/>
      <c r="G298" s="54" t="s">
        <v>64</v>
      </c>
      <c r="H298" s="54" t="s">
        <v>101</v>
      </c>
      <c r="I298" s="54" t="s">
        <v>125</v>
      </c>
      <c r="J298" s="55">
        <v>7651.5</v>
      </c>
      <c r="K298" s="55">
        <v>6138</v>
      </c>
      <c r="L298" s="55">
        <v>119</v>
      </c>
      <c r="M298" s="56">
        <v>293</v>
      </c>
      <c r="N298" s="112">
        <f t="shared" si="80"/>
        <v>4556185.9974070825</v>
      </c>
      <c r="O298" s="55">
        <v>0</v>
      </c>
      <c r="P298" s="63"/>
      <c r="Q298" s="63">
        <v>0</v>
      </c>
      <c r="R298" s="63">
        <v>259780.51285714301</v>
      </c>
      <c r="S298" s="63">
        <v>4296405.4845499396</v>
      </c>
      <c r="T298" s="63"/>
      <c r="U298" s="55">
        <v>4087.9298195094302</v>
      </c>
      <c r="V298" s="55">
        <v>4087.9298195094302</v>
      </c>
      <c r="W298" s="109">
        <v>2023</v>
      </c>
      <c r="X298" s="69">
        <v>2205585.94</v>
      </c>
      <c r="Y298" s="69">
        <f>+(K298*9.1+L298*18.19)*12</f>
        <v>696244.91999999993</v>
      </c>
      <c r="AA298" s="70" t="e">
        <v>#REF!</v>
      </c>
      <c r="AD298" s="70" t="e">
        <v>#REF!</v>
      </c>
      <c r="AP298" s="61">
        <f>+N298-'Приложение №2'!E298</f>
        <v>0</v>
      </c>
      <c r="AQ298" s="69">
        <v>2725811.3</v>
      </c>
      <c r="AR298" s="3">
        <f t="shared" si="89"/>
        <v>650352</v>
      </c>
      <c r="AS298" s="3">
        <f>+(K298*10+L298*20)*12*30</f>
        <v>22953600</v>
      </c>
      <c r="AT298" s="6">
        <f t="shared" si="81"/>
        <v>-18657194.51545006</v>
      </c>
      <c r="AU298" s="6" t="e">
        <v>#REF!</v>
      </c>
      <c r="AV298" s="6" t="e">
        <v>#REF!</v>
      </c>
      <c r="AW298" s="62">
        <f t="shared" si="82"/>
        <v>25578176.880670574</v>
      </c>
      <c r="AX298" s="55"/>
      <c r="AY298" s="55"/>
      <c r="AZ298" s="55">
        <v>6092197.7857524296</v>
      </c>
      <c r="BA298" s="55"/>
      <c r="BB298" s="55"/>
      <c r="BC298" s="55"/>
      <c r="BD298" s="55"/>
      <c r="BE298" s="55"/>
      <c r="BF298" s="55"/>
      <c r="BG298" s="55"/>
      <c r="BH298" s="7"/>
      <c r="BI298" s="55">
        <v>16788121.983090501</v>
      </c>
      <c r="BJ298" s="55">
        <v>1515314.3848925601</v>
      </c>
      <c r="BK298" s="63">
        <v>50298.009528000002</v>
      </c>
      <c r="BL298" s="111">
        <v>1132244.7174070801</v>
      </c>
      <c r="BM298" s="62">
        <f t="shared" si="83"/>
        <v>22780170.704918142</v>
      </c>
      <c r="BN298" s="55"/>
      <c r="BO298" s="55"/>
      <c r="BP298" s="118">
        <v>3294191.61</v>
      </c>
      <c r="BQ298" s="55"/>
      <c r="BR298" s="55"/>
      <c r="BS298" s="55"/>
      <c r="BT298" s="55"/>
      <c r="BU298" s="55"/>
      <c r="BV298" s="55"/>
      <c r="BW298" s="55"/>
      <c r="BX298" s="7"/>
      <c r="BY298" s="55">
        <v>16788121.983090501</v>
      </c>
      <c r="BZ298" s="55">
        <v>1515314.3848925601</v>
      </c>
      <c r="CA298" s="63">
        <v>50298.009528000002</v>
      </c>
      <c r="CB298" s="64">
        <v>1132244.7174070801</v>
      </c>
      <c r="CD298" s="70"/>
    </row>
    <row r="299" spans="1:84" x14ac:dyDescent="0.25">
      <c r="A299" s="105">
        <f t="shared" si="84"/>
        <v>280</v>
      </c>
      <c r="B299" s="106">
        <f t="shared" si="87"/>
        <v>92</v>
      </c>
      <c r="C299" s="107" t="s">
        <v>108</v>
      </c>
      <c r="D299" s="107" t="s">
        <v>176</v>
      </c>
      <c r="E299" s="54">
        <v>1975</v>
      </c>
      <c r="F299" s="54">
        <v>2013</v>
      </c>
      <c r="G299" s="54" t="s">
        <v>64</v>
      </c>
      <c r="H299" s="54">
        <v>4</v>
      </c>
      <c r="I299" s="54">
        <v>4</v>
      </c>
      <c r="J299" s="55">
        <v>2912.6</v>
      </c>
      <c r="K299" s="55">
        <v>2004.3</v>
      </c>
      <c r="L299" s="55">
        <v>902.2</v>
      </c>
      <c r="M299" s="56">
        <v>104</v>
      </c>
      <c r="N299" s="108">
        <f t="shared" si="80"/>
        <v>11580953.942622289</v>
      </c>
      <c r="O299" s="63"/>
      <c r="P299" s="63">
        <v>2562698.09</v>
      </c>
      <c r="Q299" s="63"/>
      <c r="R299" s="63">
        <v>282303.76</v>
      </c>
      <c r="S299" s="63">
        <v>8735952.0926222894</v>
      </c>
      <c r="T299" s="63"/>
      <c r="U299" s="55">
        <v>7493.7221680113998</v>
      </c>
      <c r="V299" s="55">
        <v>7493.7221680113998</v>
      </c>
      <c r="W299" s="109">
        <v>2023</v>
      </c>
      <c r="X299" s="6" t="e">
        <v>#REF!</v>
      </c>
      <c r="Z299" s="62">
        <f>SUM(AA299:AO299)</f>
        <v>33480583.039703999</v>
      </c>
      <c r="AA299" s="55">
        <v>4910426.6191344</v>
      </c>
      <c r="AB299" s="55">
        <v>1749786.8763320399</v>
      </c>
      <c r="AC299" s="55">
        <v>1828137.9504292801</v>
      </c>
      <c r="AD299" s="55">
        <v>1144529.9445770399</v>
      </c>
      <c r="AE299" s="55">
        <v>818458.35</v>
      </c>
      <c r="AF299" s="55"/>
      <c r="AG299" s="55">
        <v>188426.5127934</v>
      </c>
      <c r="AH299" s="55">
        <v>0</v>
      </c>
      <c r="AI299" s="55">
        <v>8977006.9994345997</v>
      </c>
      <c r="AJ299" s="55">
        <v>0</v>
      </c>
      <c r="AK299" s="55">
        <v>4660903.59852558</v>
      </c>
      <c r="AL299" s="55">
        <v>5027330.1025222801</v>
      </c>
      <c r="AM299" s="55">
        <v>3221989.0268000001</v>
      </c>
      <c r="AN299" s="63">
        <v>327170.53649999999</v>
      </c>
      <c r="AO299" s="64">
        <v>626416.52265537996</v>
      </c>
      <c r="AP299" s="61">
        <f>+N299-'Приложение №2'!E299</f>
        <v>0</v>
      </c>
      <c r="AQ299" s="1">
        <v>1936703.42</v>
      </c>
      <c r="AR299" s="3">
        <f t="shared" si="89"/>
        <v>388487.39999999997</v>
      </c>
      <c r="AS299" s="3">
        <f>+(K299*10+L299*20)*12*30</f>
        <v>13711320</v>
      </c>
      <c r="AT299" s="6">
        <f t="shared" si="81"/>
        <v>-4975367.9073777106</v>
      </c>
      <c r="AU299" s="6" t="e">
        <v>#REF!</v>
      </c>
      <c r="AV299" s="6" t="e">
        <v>#REF!</v>
      </c>
      <c r="AW299" s="62">
        <f t="shared" si="82"/>
        <v>21780503.481325135</v>
      </c>
      <c r="AX299" s="55">
        <v>6939356.6437431397</v>
      </c>
      <c r="AY299" s="55">
        <v>0</v>
      </c>
      <c r="AZ299" s="55">
        <v>0</v>
      </c>
      <c r="BA299" s="55">
        <v>0</v>
      </c>
      <c r="BB299" s="55">
        <v>818458.35</v>
      </c>
      <c r="BC299" s="55"/>
      <c r="BD299" s="55">
        <v>266268.26596902299</v>
      </c>
      <c r="BE299" s="55">
        <v>0</v>
      </c>
      <c r="BF299" s="55">
        <v>6490827.1100000003</v>
      </c>
      <c r="BG299" s="55">
        <v>0</v>
      </c>
      <c r="BH299" s="55">
        <v>0</v>
      </c>
      <c r="BI299" s="55">
        <v>7104547.2889906801</v>
      </c>
      <c r="BJ299" s="55"/>
      <c r="BK299" s="63"/>
      <c r="BL299" s="111">
        <v>161045.82262229201</v>
      </c>
      <c r="BM299" s="62">
        <f t="shared" si="83"/>
        <v>22658967.491325133</v>
      </c>
      <c r="BN299" s="55">
        <v>6939356.6437431397</v>
      </c>
      <c r="BO299" s="55">
        <v>0</v>
      </c>
      <c r="BP299" s="55">
        <v>0</v>
      </c>
      <c r="BQ299" s="55">
        <v>0</v>
      </c>
      <c r="BR299" s="55">
        <v>818458.35</v>
      </c>
      <c r="BS299" s="55"/>
      <c r="BT299" s="55">
        <v>266268.26596902299</v>
      </c>
      <c r="BU299" s="55">
        <v>0</v>
      </c>
      <c r="BV299" s="55">
        <v>7369291.1200000001</v>
      </c>
      <c r="BW299" s="55">
        <v>0</v>
      </c>
      <c r="BX299" s="55">
        <v>0</v>
      </c>
      <c r="BY299" s="55">
        <v>7104547.2889906801</v>
      </c>
      <c r="BZ299" s="55"/>
      <c r="CA299" s="63"/>
      <c r="CB299" s="64">
        <v>161045.82262229201</v>
      </c>
      <c r="CD299" s="6"/>
    </row>
    <row r="300" spans="1:84" x14ac:dyDescent="0.25">
      <c r="A300" s="105">
        <f t="shared" si="84"/>
        <v>281</v>
      </c>
      <c r="B300" s="106">
        <f t="shared" si="87"/>
        <v>93</v>
      </c>
      <c r="C300" s="53" t="s">
        <v>108</v>
      </c>
      <c r="D300" s="53" t="s">
        <v>371</v>
      </c>
      <c r="E300" s="54">
        <v>1994</v>
      </c>
      <c r="F300" s="54">
        <v>2013</v>
      </c>
      <c r="G300" s="54" t="s">
        <v>64</v>
      </c>
      <c r="H300" s="54">
        <v>4</v>
      </c>
      <c r="I300" s="54">
        <v>2</v>
      </c>
      <c r="J300" s="55">
        <v>1882.24</v>
      </c>
      <c r="K300" s="55">
        <v>1768.8</v>
      </c>
      <c r="L300" s="55">
        <v>0</v>
      </c>
      <c r="M300" s="56">
        <v>61</v>
      </c>
      <c r="N300" s="112">
        <f t="shared" si="80"/>
        <v>1600200.6971845799</v>
      </c>
      <c r="O300" s="55"/>
      <c r="P300" s="63"/>
      <c r="Q300" s="63"/>
      <c r="R300" s="63">
        <v>1133727.23751542</v>
      </c>
      <c r="S300" s="63">
        <v>466473.45966916002</v>
      </c>
      <c r="T300" s="63"/>
      <c r="U300" s="63">
        <v>889.58450062189104</v>
      </c>
      <c r="V300" s="63">
        <v>1315.2830200640001</v>
      </c>
      <c r="W300" s="109">
        <v>2023</v>
      </c>
      <c r="X300" s="6" t="e">
        <v>#REF!</v>
      </c>
      <c r="Z300" s="62">
        <f>SUM(AA300:AO300)</f>
        <v>6275488.2600000007</v>
      </c>
      <c r="AA300" s="55">
        <v>0</v>
      </c>
      <c r="AB300" s="55">
        <v>0</v>
      </c>
      <c r="AC300" s="55">
        <v>1539824.2275154199</v>
      </c>
      <c r="AD300" s="55">
        <v>0</v>
      </c>
      <c r="AE300" s="55">
        <v>0</v>
      </c>
      <c r="AF300" s="55"/>
      <c r="AG300" s="55">
        <v>0</v>
      </c>
      <c r="AH300" s="55">
        <v>0</v>
      </c>
      <c r="AI300" s="55">
        <v>0</v>
      </c>
      <c r="AJ300" s="55">
        <v>0</v>
      </c>
      <c r="AK300" s="55">
        <v>3925837.3744846201</v>
      </c>
      <c r="AL300" s="55">
        <v>0</v>
      </c>
      <c r="AM300" s="55">
        <v>627548.826</v>
      </c>
      <c r="AN300" s="63">
        <v>62754.882599999997</v>
      </c>
      <c r="AO300" s="64">
        <v>119522.94939995999</v>
      </c>
      <c r="AP300" s="61">
        <f>+N300-'Приложение №2'!E300</f>
        <v>0</v>
      </c>
      <c r="AQ300" s="1">
        <v>977961.59</v>
      </c>
      <c r="AR300" s="3">
        <f>+(K300*10.5+L300*21)*12*0.85</f>
        <v>189438.47999999998</v>
      </c>
      <c r="AS300" s="3">
        <f>+(K300*10.5+L300*21)*12*30</f>
        <v>6686064</v>
      </c>
      <c r="AT300" s="6">
        <f t="shared" si="81"/>
        <v>-6219590.5403308403</v>
      </c>
      <c r="AU300" s="6" t="e">
        <v>#REF!</v>
      </c>
      <c r="AV300" s="6" t="e">
        <v>#REF!</v>
      </c>
      <c r="AW300" s="110">
        <f t="shared" si="82"/>
        <v>1573497.0647</v>
      </c>
      <c r="AX300" s="55">
        <v>0</v>
      </c>
      <c r="AY300" s="55">
        <v>0</v>
      </c>
      <c r="AZ300" s="55">
        <v>1539824.2275154199</v>
      </c>
      <c r="BA300" s="55">
        <v>0</v>
      </c>
      <c r="BB300" s="55">
        <v>0</v>
      </c>
      <c r="BC300" s="55"/>
      <c r="BD300" s="55"/>
      <c r="BE300" s="55">
        <v>0</v>
      </c>
      <c r="BF300" s="55">
        <v>0</v>
      </c>
      <c r="BG300" s="55">
        <v>0</v>
      </c>
      <c r="BH300" s="55"/>
      <c r="BI300" s="55">
        <v>0</v>
      </c>
      <c r="BJ300" s="55"/>
      <c r="BK300" s="63"/>
      <c r="BL300" s="111">
        <v>33672.837184579999</v>
      </c>
      <c r="BM300" s="110">
        <f t="shared" si="83"/>
        <v>1573497.0647</v>
      </c>
      <c r="BN300" s="55">
        <v>0</v>
      </c>
      <c r="BO300" s="55">
        <v>0</v>
      </c>
      <c r="BP300" s="55">
        <v>1539824.2275154199</v>
      </c>
      <c r="BQ300" s="55">
        <v>0</v>
      </c>
      <c r="BR300" s="55">
        <v>0</v>
      </c>
      <c r="BS300" s="55"/>
      <c r="BT300" s="55"/>
      <c r="BU300" s="55">
        <v>0</v>
      </c>
      <c r="BV300" s="55">
        <v>0</v>
      </c>
      <c r="BW300" s="55">
        <v>0</v>
      </c>
      <c r="BX300" s="55"/>
      <c r="BY300" s="55">
        <v>0</v>
      </c>
      <c r="BZ300" s="55"/>
      <c r="CA300" s="63"/>
      <c r="CB300" s="64">
        <v>33672.837184579999</v>
      </c>
      <c r="CD300" s="74"/>
    </row>
    <row r="301" spans="1:84" x14ac:dyDescent="0.25">
      <c r="A301" s="105">
        <f t="shared" si="84"/>
        <v>282</v>
      </c>
      <c r="B301" s="106">
        <f t="shared" si="87"/>
        <v>94</v>
      </c>
      <c r="C301" s="107" t="s">
        <v>108</v>
      </c>
      <c r="D301" s="107" t="s">
        <v>177</v>
      </c>
      <c r="E301" s="54">
        <v>1993</v>
      </c>
      <c r="F301" s="54">
        <v>2013</v>
      </c>
      <c r="G301" s="54" t="s">
        <v>64</v>
      </c>
      <c r="H301" s="54">
        <v>5</v>
      </c>
      <c r="I301" s="54">
        <v>2</v>
      </c>
      <c r="J301" s="55">
        <v>2382.6999999999998</v>
      </c>
      <c r="K301" s="55">
        <v>2177.75</v>
      </c>
      <c r="L301" s="55">
        <v>0</v>
      </c>
      <c r="M301" s="56">
        <v>103</v>
      </c>
      <c r="N301" s="108">
        <f t="shared" si="80"/>
        <v>2910825.5700000003</v>
      </c>
      <c r="O301" s="63"/>
      <c r="P301" s="63">
        <v>1924919.06</v>
      </c>
      <c r="Q301" s="63"/>
      <c r="R301" s="63">
        <v>72722.84</v>
      </c>
      <c r="S301" s="63">
        <v>913183.67</v>
      </c>
      <c r="T301" s="63"/>
      <c r="U301" s="63">
        <v>1336.62062679371</v>
      </c>
      <c r="V301" s="63">
        <v>1316.2830200640001</v>
      </c>
      <c r="W301" s="109">
        <v>2023</v>
      </c>
      <c r="X301" s="6"/>
      <c r="Z301" s="62"/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  <c r="AK301" s="55"/>
      <c r="AL301" s="55"/>
      <c r="AM301" s="55"/>
      <c r="AN301" s="63"/>
      <c r="AO301" s="64"/>
      <c r="AP301" s="61"/>
      <c r="AT301" s="6"/>
      <c r="AU301" s="6"/>
      <c r="AV301" s="6"/>
      <c r="AW301" s="110"/>
      <c r="AX301" s="55"/>
      <c r="AY301" s="55"/>
      <c r="AZ301" s="55"/>
      <c r="BA301" s="55"/>
      <c r="BB301" s="55"/>
      <c r="BC301" s="55"/>
      <c r="BD301" s="55"/>
      <c r="BE301" s="55"/>
      <c r="BF301" s="55"/>
      <c r="BG301" s="55"/>
      <c r="BH301" s="55"/>
      <c r="BI301" s="55"/>
      <c r="BJ301" s="55"/>
      <c r="BK301" s="63"/>
      <c r="BL301" s="111"/>
      <c r="BM301" s="110">
        <f t="shared" si="83"/>
        <v>2910825.57</v>
      </c>
      <c r="BN301" s="55">
        <v>2910825.57</v>
      </c>
      <c r="BO301" s="55"/>
      <c r="BP301" s="55"/>
      <c r="BQ301" s="55"/>
      <c r="BR301" s="55"/>
      <c r="BS301" s="55"/>
      <c r="BT301" s="55"/>
      <c r="BU301" s="55"/>
      <c r="BV301" s="55"/>
      <c r="BW301" s="55"/>
      <c r="BX301" s="55"/>
      <c r="BY301" s="55"/>
      <c r="BZ301" s="55"/>
      <c r="CA301" s="63"/>
      <c r="CB301" s="64"/>
      <c r="CD301" s="3"/>
    </row>
    <row r="302" spans="1:84" x14ac:dyDescent="0.25">
      <c r="A302" s="105">
        <f t="shared" si="84"/>
        <v>283</v>
      </c>
      <c r="B302" s="106">
        <f t="shared" si="87"/>
        <v>95</v>
      </c>
      <c r="C302" s="53" t="s">
        <v>108</v>
      </c>
      <c r="D302" s="53" t="s">
        <v>372</v>
      </c>
      <c r="E302" s="54">
        <v>1968</v>
      </c>
      <c r="F302" s="54">
        <v>2013</v>
      </c>
      <c r="G302" s="54" t="s">
        <v>64</v>
      </c>
      <c r="H302" s="54">
        <v>4</v>
      </c>
      <c r="I302" s="54">
        <v>2</v>
      </c>
      <c r="J302" s="55">
        <v>1340.1</v>
      </c>
      <c r="K302" s="55">
        <v>1250.0999999999999</v>
      </c>
      <c r="L302" s="55">
        <v>0</v>
      </c>
      <c r="M302" s="56">
        <v>47</v>
      </c>
      <c r="N302" s="112">
        <f t="shared" si="80"/>
        <v>494347.02341199998</v>
      </c>
      <c r="O302" s="55"/>
      <c r="P302" s="63"/>
      <c r="Q302" s="63"/>
      <c r="R302" s="63">
        <v>494347.02341199998</v>
      </c>
      <c r="S302" s="63">
        <v>0</v>
      </c>
      <c r="T302" s="63"/>
      <c r="U302" s="55">
        <v>395.44598305095599</v>
      </c>
      <c r="V302" s="55">
        <v>395.44598305095599</v>
      </c>
      <c r="W302" s="109">
        <v>2023</v>
      </c>
      <c r="X302" s="6" t="e">
        <v>#REF!</v>
      </c>
      <c r="Z302" s="62">
        <f>SUM(AA302:AO302)</f>
        <v>7345879.3544120006</v>
      </c>
      <c r="AA302" s="55">
        <v>0</v>
      </c>
      <c r="AB302" s="55">
        <v>0</v>
      </c>
      <c r="AC302" s="55">
        <v>0</v>
      </c>
      <c r="AD302" s="55">
        <v>0</v>
      </c>
      <c r="AE302" s="55">
        <v>491444.9</v>
      </c>
      <c r="AF302" s="55"/>
      <c r="AG302" s="55">
        <v>0</v>
      </c>
      <c r="AH302" s="55">
        <v>0</v>
      </c>
      <c r="AI302" s="55">
        <v>0</v>
      </c>
      <c r="AJ302" s="55">
        <v>0</v>
      </c>
      <c r="AK302" s="55">
        <v>2817572.53491042</v>
      </c>
      <c r="AL302" s="55">
        <v>3039081.7867057198</v>
      </c>
      <c r="AM302" s="55">
        <v>797894.04099999997</v>
      </c>
      <c r="AN302" s="63">
        <v>68910.799100000004</v>
      </c>
      <c r="AO302" s="64">
        <v>130975.29269586</v>
      </c>
      <c r="AP302" s="61">
        <f>+N302-'Приложение №2'!E302</f>
        <v>0</v>
      </c>
      <c r="AQ302" s="1">
        <v>547627.87</v>
      </c>
      <c r="AR302" s="3">
        <f>+(K302*10+L302*20)*12*0.85</f>
        <v>127510.2</v>
      </c>
      <c r="AS302" s="3">
        <f>+(K302*10+L302*20)*12*30</f>
        <v>4500360</v>
      </c>
      <c r="AT302" s="6">
        <f t="shared" ref="AT302:AT333" si="91">+S302-AS302</f>
        <v>-4500360</v>
      </c>
      <c r="AU302" s="6" t="e">
        <v>#REF!</v>
      </c>
      <c r="AV302" s="6" t="e">
        <v>#REF!</v>
      </c>
      <c r="AW302" s="62">
        <f t="shared" ref="AW302:AW322" si="92">SUBTOTAL(9, AX302:BL302)</f>
        <v>494347.02341199998</v>
      </c>
      <c r="AX302" s="55">
        <v>0</v>
      </c>
      <c r="AY302" s="55">
        <v>0</v>
      </c>
      <c r="AZ302" s="55">
        <v>0</v>
      </c>
      <c r="BA302" s="55">
        <v>0</v>
      </c>
      <c r="BB302" s="55">
        <v>491444.89899999998</v>
      </c>
      <c r="BC302" s="55"/>
      <c r="BD302" s="55"/>
      <c r="BE302" s="55">
        <v>0</v>
      </c>
      <c r="BF302" s="55">
        <v>0</v>
      </c>
      <c r="BG302" s="55">
        <v>0</v>
      </c>
      <c r="BH302" s="55"/>
      <c r="BI302" s="55"/>
      <c r="BJ302" s="55"/>
      <c r="BK302" s="63"/>
      <c r="BL302" s="111">
        <v>2902.1244120000001</v>
      </c>
      <c r="BM302" s="62">
        <f t="shared" si="83"/>
        <v>494347.02341199998</v>
      </c>
      <c r="BN302" s="55">
        <v>0</v>
      </c>
      <c r="BO302" s="55">
        <v>0</v>
      </c>
      <c r="BP302" s="55">
        <v>0</v>
      </c>
      <c r="BQ302" s="55">
        <v>0</v>
      </c>
      <c r="BR302" s="55">
        <v>491444.89899999998</v>
      </c>
      <c r="BS302" s="55"/>
      <c r="BT302" s="55"/>
      <c r="BU302" s="55">
        <v>0</v>
      </c>
      <c r="BV302" s="55">
        <v>0</v>
      </c>
      <c r="BW302" s="55">
        <v>0</v>
      </c>
      <c r="BX302" s="55"/>
      <c r="BY302" s="55"/>
      <c r="BZ302" s="55"/>
      <c r="CA302" s="63"/>
      <c r="CB302" s="64">
        <v>2902.1244120000001</v>
      </c>
      <c r="CD302" s="6"/>
    </row>
    <row r="303" spans="1:84" x14ac:dyDescent="0.25">
      <c r="A303" s="105">
        <f t="shared" si="84"/>
        <v>284</v>
      </c>
      <c r="B303" s="106">
        <f t="shared" si="87"/>
        <v>96</v>
      </c>
      <c r="C303" s="107" t="s">
        <v>108</v>
      </c>
      <c r="D303" s="107" t="s">
        <v>373</v>
      </c>
      <c r="E303" s="54">
        <v>1973</v>
      </c>
      <c r="F303" s="54">
        <v>2011</v>
      </c>
      <c r="G303" s="54" t="s">
        <v>64</v>
      </c>
      <c r="H303" s="54">
        <v>5</v>
      </c>
      <c r="I303" s="54">
        <v>4</v>
      </c>
      <c r="J303" s="55">
        <v>3343.7</v>
      </c>
      <c r="K303" s="55">
        <v>3061.9</v>
      </c>
      <c r="L303" s="55">
        <v>0</v>
      </c>
      <c r="M303" s="56">
        <v>160</v>
      </c>
      <c r="N303" s="108">
        <f t="shared" si="80"/>
        <v>13217590.9148302</v>
      </c>
      <c r="O303" s="63"/>
      <c r="P303" s="63">
        <v>8170424.7400000002</v>
      </c>
      <c r="Q303" s="63"/>
      <c r="R303" s="63">
        <v>1696801.81</v>
      </c>
      <c r="S303" s="63">
        <v>3350364.3648302001</v>
      </c>
      <c r="T303" s="63"/>
      <c r="U303" s="55">
        <v>5206.53421589557</v>
      </c>
      <c r="V303" s="55">
        <v>5206.53421589557</v>
      </c>
      <c r="W303" s="109">
        <v>2023</v>
      </c>
      <c r="X303" s="6" t="e">
        <v>#REF!</v>
      </c>
      <c r="Z303" s="62">
        <f>SUM(AA303:AO303)</f>
        <v>26291754.259999998</v>
      </c>
      <c r="AA303" s="55">
        <v>0</v>
      </c>
      <c r="AB303" s="55">
        <v>0</v>
      </c>
      <c r="AC303" s="55">
        <v>2724296.20082046</v>
      </c>
      <c r="AD303" s="55">
        <v>0</v>
      </c>
      <c r="AE303" s="55">
        <v>0</v>
      </c>
      <c r="AF303" s="55"/>
      <c r="AG303" s="55">
        <v>0</v>
      </c>
      <c r="AH303" s="55">
        <v>0</v>
      </c>
      <c r="AI303" s="55">
        <v>13377560.538169799</v>
      </c>
      <c r="AJ303" s="55">
        <v>0</v>
      </c>
      <c r="AK303" s="55">
        <v>6945691.3623090005</v>
      </c>
      <c r="AL303" s="55">
        <v>0</v>
      </c>
      <c r="AM303" s="55">
        <v>2477285.4183</v>
      </c>
      <c r="AN303" s="63">
        <v>262917.54259999999</v>
      </c>
      <c r="AO303" s="64">
        <v>504003.19780074002</v>
      </c>
      <c r="AP303" s="61">
        <f>+N303-'Приложение №2'!E303</f>
        <v>0</v>
      </c>
      <c r="AQ303" s="1">
        <v>1384488.01</v>
      </c>
      <c r="AR303" s="3">
        <f>+(K303*10+L303*20)*12*0.85</f>
        <v>312313.8</v>
      </c>
      <c r="AS303" s="3">
        <f>+(K303*10+L303*20)*12*30</f>
        <v>11022840</v>
      </c>
      <c r="AT303" s="6">
        <f t="shared" si="91"/>
        <v>-7672475.6351698004</v>
      </c>
      <c r="AU303" s="6" t="e">
        <v>#REF!</v>
      </c>
      <c r="AV303" s="6" t="e">
        <v>#REF!</v>
      </c>
      <c r="AW303" s="62">
        <f t="shared" si="92"/>
        <v>16196844.68565066</v>
      </c>
      <c r="AX303" s="55">
        <v>0</v>
      </c>
      <c r="AY303" s="55">
        <v>0</v>
      </c>
      <c r="AZ303" s="55">
        <v>2724296.20082046</v>
      </c>
      <c r="BA303" s="55">
        <v>0</v>
      </c>
      <c r="BB303" s="55">
        <v>0</v>
      </c>
      <c r="BC303" s="55"/>
      <c r="BD303" s="55"/>
      <c r="BE303" s="55">
        <v>0</v>
      </c>
      <c r="BF303" s="55">
        <v>13180008.33</v>
      </c>
      <c r="BG303" s="55">
        <v>0</v>
      </c>
      <c r="BH303" s="55"/>
      <c r="BI303" s="55">
        <v>0</v>
      </c>
      <c r="BJ303" s="55"/>
      <c r="BK303" s="63"/>
      <c r="BL303" s="111">
        <v>292540.15483020002</v>
      </c>
      <c r="BM303" s="62">
        <f t="shared" si="83"/>
        <v>15941887.115650659</v>
      </c>
      <c r="BN303" s="55">
        <v>0</v>
      </c>
      <c r="BO303" s="55">
        <v>0</v>
      </c>
      <c r="BP303" s="55">
        <v>2724296.20082046</v>
      </c>
      <c r="BQ303" s="55">
        <v>0</v>
      </c>
      <c r="BR303" s="55">
        <v>0</v>
      </c>
      <c r="BS303" s="55"/>
      <c r="BT303" s="55"/>
      <c r="BU303" s="55">
        <v>0</v>
      </c>
      <c r="BV303" s="55">
        <v>12925050.76</v>
      </c>
      <c r="BW303" s="55">
        <v>0</v>
      </c>
      <c r="BX303" s="55"/>
      <c r="BY303" s="55">
        <v>0</v>
      </c>
      <c r="BZ303" s="55"/>
      <c r="CA303" s="63"/>
      <c r="CB303" s="64">
        <v>292540.15483020002</v>
      </c>
    </row>
    <row r="304" spans="1:84" x14ac:dyDescent="0.25">
      <c r="A304" s="105">
        <f t="shared" si="84"/>
        <v>285</v>
      </c>
      <c r="B304" s="106">
        <f t="shared" si="87"/>
        <v>97</v>
      </c>
      <c r="C304" s="53" t="s">
        <v>108</v>
      </c>
      <c r="D304" s="53" t="s">
        <v>374</v>
      </c>
      <c r="E304" s="54">
        <v>1971</v>
      </c>
      <c r="F304" s="54">
        <v>2013</v>
      </c>
      <c r="G304" s="54" t="s">
        <v>64</v>
      </c>
      <c r="H304" s="54">
        <v>4</v>
      </c>
      <c r="I304" s="54">
        <v>4</v>
      </c>
      <c r="J304" s="55">
        <v>3003.8</v>
      </c>
      <c r="K304" s="55">
        <v>2693.7</v>
      </c>
      <c r="L304" s="55">
        <v>0</v>
      </c>
      <c r="M304" s="56">
        <v>120</v>
      </c>
      <c r="N304" s="112">
        <f t="shared" ref="N304:N335" si="93">+P304+Q304+R304+S304+T304</f>
        <v>8014222.757894</v>
      </c>
      <c r="O304" s="55"/>
      <c r="P304" s="63">
        <v>0</v>
      </c>
      <c r="Q304" s="63"/>
      <c r="R304" s="63">
        <v>495408.6</v>
      </c>
      <c r="S304" s="63">
        <v>7518814.1578940004</v>
      </c>
      <c r="T304" s="63"/>
      <c r="U304" s="55">
        <v>3814.0265960125698</v>
      </c>
      <c r="V304" s="55">
        <v>3814.0265960125698</v>
      </c>
      <c r="W304" s="109">
        <v>2023</v>
      </c>
      <c r="X304" s="6" t="e">
        <v>#REF!</v>
      </c>
      <c r="Z304" s="62">
        <f>SUM(AA304:AO304)</f>
        <v>21441082.737894002</v>
      </c>
      <c r="AA304" s="55">
        <v>0</v>
      </c>
      <c r="AB304" s="55">
        <v>2296919.6304310202</v>
      </c>
      <c r="AC304" s="55">
        <v>2399769.9437850602</v>
      </c>
      <c r="AD304" s="55">
        <v>0</v>
      </c>
      <c r="AE304" s="55">
        <v>1020388.92</v>
      </c>
      <c r="AF304" s="55"/>
      <c r="AG304" s="55">
        <v>247344.72404291999</v>
      </c>
      <c r="AH304" s="55">
        <v>0</v>
      </c>
      <c r="AI304" s="55">
        <v>0</v>
      </c>
      <c r="AJ304" s="55">
        <v>0</v>
      </c>
      <c r="AK304" s="55">
        <v>6118299.9556224002</v>
      </c>
      <c r="AL304" s="55">
        <v>6599302.6705422597</v>
      </c>
      <c r="AM304" s="55">
        <v>2162864.8599</v>
      </c>
      <c r="AN304" s="63">
        <v>205857.47700000001</v>
      </c>
      <c r="AO304" s="64">
        <v>390334.55657034001</v>
      </c>
      <c r="AP304" s="61">
        <f>+N304-'Приложение №2'!E304</f>
        <v>0</v>
      </c>
      <c r="AQ304" s="1">
        <f>1245150.45-129665.9434</f>
        <v>1115484.5066</v>
      </c>
      <c r="AR304" s="3">
        <f>+(K304*10+L304*20)*12*0.85</f>
        <v>274757.39999999997</v>
      </c>
      <c r="AS304" s="3">
        <f>+(K304*10+L304*20)*12*30-552777.2166</f>
        <v>9144542.7833999991</v>
      </c>
      <c r="AT304" s="6">
        <f t="shared" si="91"/>
        <v>-1625728.6255059987</v>
      </c>
      <c r="AU304" s="6" t="e">
        <v>#REF!</v>
      </c>
      <c r="AV304" s="6" t="e">
        <v>#REF!</v>
      </c>
      <c r="AW304" s="62">
        <f t="shared" si="92"/>
        <v>10273843.44167906</v>
      </c>
      <c r="AX304" s="55"/>
      <c r="AY304" s="55"/>
      <c r="AZ304" s="55">
        <v>2399769.9437850602</v>
      </c>
      <c r="BA304" s="55">
        <v>0</v>
      </c>
      <c r="BB304" s="55">
        <v>1020388.92</v>
      </c>
      <c r="BC304" s="55"/>
      <c r="BD304" s="55"/>
      <c r="BE304" s="55"/>
      <c r="BF304" s="55"/>
      <c r="BG304" s="55"/>
      <c r="BH304" s="55"/>
      <c r="BI304" s="55">
        <v>6849574.25</v>
      </c>
      <c r="BJ304" s="55"/>
      <c r="BK304" s="63"/>
      <c r="BL304" s="111">
        <v>4110.327894</v>
      </c>
      <c r="BM304" s="62">
        <f t="shared" ref="BM304:BM335" si="94">SUBTOTAL(9, BN304:CB304)</f>
        <v>10419561.671679061</v>
      </c>
      <c r="BN304" s="55"/>
      <c r="BO304" s="55"/>
      <c r="BP304" s="55">
        <v>2399769.9437850602</v>
      </c>
      <c r="BQ304" s="55">
        <v>0</v>
      </c>
      <c r="BR304" s="55">
        <v>1020388.92</v>
      </c>
      <c r="BS304" s="55"/>
      <c r="BT304" s="55"/>
      <c r="BU304" s="55"/>
      <c r="BV304" s="55"/>
      <c r="BW304" s="55"/>
      <c r="BX304" s="55"/>
      <c r="BY304" s="118">
        <v>6995292.4800000004</v>
      </c>
      <c r="BZ304" s="55"/>
      <c r="CA304" s="63"/>
      <c r="CB304" s="64">
        <v>4110.327894</v>
      </c>
      <c r="CD304" s="3"/>
    </row>
    <row r="305" spans="1:84" s="69" customFormat="1" x14ac:dyDescent="0.25">
      <c r="A305" s="105">
        <f t="shared" si="84"/>
        <v>286</v>
      </c>
      <c r="B305" s="106">
        <f t="shared" si="87"/>
        <v>98</v>
      </c>
      <c r="C305" s="53" t="s">
        <v>181</v>
      </c>
      <c r="D305" s="53" t="s">
        <v>375</v>
      </c>
      <c r="E305" s="54" t="s">
        <v>338</v>
      </c>
      <c r="F305" s="54"/>
      <c r="G305" s="54" t="s">
        <v>64</v>
      </c>
      <c r="H305" s="54" t="s">
        <v>184</v>
      </c>
      <c r="I305" s="54" t="s">
        <v>145</v>
      </c>
      <c r="J305" s="55">
        <v>3411.7</v>
      </c>
      <c r="K305" s="55">
        <v>2190.6999999999998</v>
      </c>
      <c r="L305" s="55">
        <v>1221</v>
      </c>
      <c r="M305" s="56">
        <v>86</v>
      </c>
      <c r="N305" s="112">
        <f t="shared" si="93"/>
        <v>2798159.0951388599</v>
      </c>
      <c r="O305" s="55">
        <v>0</v>
      </c>
      <c r="P305" s="63"/>
      <c r="Q305" s="63">
        <v>0</v>
      </c>
      <c r="R305" s="63">
        <v>710919.86</v>
      </c>
      <c r="S305" s="63">
        <v>2087239.2351388601</v>
      </c>
      <c r="T305" s="63"/>
      <c r="U305" s="63">
        <v>14950.9382357458</v>
      </c>
      <c r="V305" s="63">
        <v>1322.2830200640001</v>
      </c>
      <c r="W305" s="109">
        <v>2023</v>
      </c>
      <c r="X305" s="69">
        <v>1858783.44</v>
      </c>
      <c r="Y305" s="69">
        <f>+(K305*9.1+L305*18.19)*12</f>
        <v>505744.32</v>
      </c>
      <c r="AA305" s="70" t="e">
        <v>#REF!</v>
      </c>
      <c r="AD305" s="70" t="e">
        <v>#REF!</v>
      </c>
      <c r="AP305" s="61">
        <f>+N305-'Приложение №2'!E305</f>
        <v>0</v>
      </c>
      <c r="AQ305" s="65">
        <v>2892323.62</v>
      </c>
      <c r="AR305" s="3">
        <f>+(K305*10.5+L305*21)*12*0.85</f>
        <v>496162.16999999993</v>
      </c>
      <c r="AS305" s="3">
        <f>+(K305*10.5+L305*21)*12*30</f>
        <v>17511606</v>
      </c>
      <c r="AT305" s="6">
        <f t="shared" si="91"/>
        <v>-15424366.76486114</v>
      </c>
      <c r="AU305" s="6" t="e">
        <v>#REF!</v>
      </c>
      <c r="AV305" s="6" t="e">
        <v>#REF!</v>
      </c>
      <c r="AW305" s="110">
        <f t="shared" si="92"/>
        <v>32753020.393048245</v>
      </c>
      <c r="AX305" s="55">
        <v>8145536.9211967904</v>
      </c>
      <c r="AY305" s="55"/>
      <c r="AZ305" s="55">
        <v>3032559.0353823998</v>
      </c>
      <c r="BA305" s="55"/>
      <c r="BB305" s="55"/>
      <c r="BC305" s="55"/>
      <c r="BD305" s="55">
        <v>312550.298643218</v>
      </c>
      <c r="BE305" s="55">
        <v>0</v>
      </c>
      <c r="BF305" s="55">
        <v>0</v>
      </c>
      <c r="BG305" s="55">
        <v>0</v>
      </c>
      <c r="BH305" s="55">
        <v>7731612.4366276301</v>
      </c>
      <c r="BI305" s="55">
        <v>8339440.5593839698</v>
      </c>
      <c r="BJ305" s="55">
        <v>4071050.8610671</v>
      </c>
      <c r="BK305" s="63">
        <v>387157.94560827798</v>
      </c>
      <c r="BL305" s="111">
        <v>733112.33513886202</v>
      </c>
      <c r="BM305" s="110">
        <f t="shared" si="94"/>
        <v>32753020.393048245</v>
      </c>
      <c r="BN305" s="55">
        <v>8145536.9211967904</v>
      </c>
      <c r="BO305" s="55"/>
      <c r="BP305" s="55">
        <v>3032559.0353823998</v>
      </c>
      <c r="BQ305" s="55"/>
      <c r="BR305" s="55"/>
      <c r="BS305" s="55"/>
      <c r="BT305" s="55">
        <v>312550.298643218</v>
      </c>
      <c r="BU305" s="55">
        <v>0</v>
      </c>
      <c r="BV305" s="55">
        <v>0</v>
      </c>
      <c r="BW305" s="55">
        <v>0</v>
      </c>
      <c r="BX305" s="55">
        <v>7731612.4366276301</v>
      </c>
      <c r="BY305" s="55">
        <v>8339440.5593839698</v>
      </c>
      <c r="BZ305" s="55">
        <v>4071050.8610671</v>
      </c>
      <c r="CA305" s="63">
        <v>387157.94560827798</v>
      </c>
      <c r="CB305" s="64">
        <v>733112.33513886202</v>
      </c>
      <c r="CD305" s="70"/>
    </row>
    <row r="306" spans="1:84" s="69" customFormat="1" x14ac:dyDescent="0.25">
      <c r="A306" s="105">
        <f t="shared" si="84"/>
        <v>287</v>
      </c>
      <c r="B306" s="106">
        <f t="shared" si="87"/>
        <v>99</v>
      </c>
      <c r="C306" s="107" t="s">
        <v>181</v>
      </c>
      <c r="D306" s="107" t="s">
        <v>376</v>
      </c>
      <c r="E306" s="54" t="s">
        <v>377</v>
      </c>
      <c r="F306" s="54"/>
      <c r="G306" s="54" t="s">
        <v>64</v>
      </c>
      <c r="H306" s="54" t="s">
        <v>184</v>
      </c>
      <c r="I306" s="54" t="s">
        <v>125</v>
      </c>
      <c r="J306" s="55">
        <v>5051.1899999999996</v>
      </c>
      <c r="K306" s="55">
        <v>4630.8</v>
      </c>
      <c r="L306" s="55">
        <v>0</v>
      </c>
      <c r="M306" s="56">
        <v>233</v>
      </c>
      <c r="N306" s="108">
        <f t="shared" si="93"/>
        <v>25555659.228427622</v>
      </c>
      <c r="O306" s="63">
        <v>0</v>
      </c>
      <c r="P306" s="63">
        <v>15061072.960000001</v>
      </c>
      <c r="Q306" s="63">
        <v>0</v>
      </c>
      <c r="R306" s="63">
        <v>1286566.96</v>
      </c>
      <c r="S306" s="63">
        <v>9208019.3084276207</v>
      </c>
      <c r="T306" s="63"/>
      <c r="U306" s="63">
        <v>9933.7457987480193</v>
      </c>
      <c r="V306" s="63">
        <v>1323.2830200640001</v>
      </c>
      <c r="W306" s="109">
        <v>2023</v>
      </c>
      <c r="X306" s="69">
        <v>1795085.95</v>
      </c>
      <c r="Y306" s="69">
        <f>+(K306*9.1+L306*18.19)*12</f>
        <v>505683.36</v>
      </c>
      <c r="AA306" s="70" t="e">
        <v>#REF!</v>
      </c>
      <c r="AD306" s="70" t="e">
        <v>#REF!</v>
      </c>
      <c r="AP306" s="61">
        <f>+N306-'Приложение №2'!E306</f>
        <v>0</v>
      </c>
      <c r="AQ306" s="65">
        <v>2825636.52</v>
      </c>
      <c r="AR306" s="3">
        <f>+(K306*10.5+L306*21)*12*0.85</f>
        <v>495958.68000000005</v>
      </c>
      <c r="AS306" s="3">
        <f>+(K306*10.5+L306*21)*12*30</f>
        <v>17504424</v>
      </c>
      <c r="AT306" s="6">
        <f t="shared" si="91"/>
        <v>-8296404.6915723793</v>
      </c>
      <c r="AU306" s="6" t="e">
        <v>#REF!</v>
      </c>
      <c r="AV306" s="6" t="e">
        <v>#REF!</v>
      </c>
      <c r="AW306" s="110">
        <f t="shared" si="92"/>
        <v>46001190.044842333</v>
      </c>
      <c r="AX306" s="55"/>
      <c r="AY306" s="55"/>
      <c r="AZ306" s="55">
        <v>4497893.3018872403</v>
      </c>
      <c r="BA306" s="55"/>
      <c r="BB306" s="55"/>
      <c r="BC306" s="55"/>
      <c r="BD306" s="55"/>
      <c r="BE306" s="55"/>
      <c r="BF306" s="55">
        <v>21981498.489577901</v>
      </c>
      <c r="BG306" s="55"/>
      <c r="BH306" s="55"/>
      <c r="BI306" s="55">
        <v>12368954.783286</v>
      </c>
      <c r="BJ306" s="55">
        <v>5496977.6636125296</v>
      </c>
      <c r="BK306" s="63">
        <v>568685.02805103804</v>
      </c>
      <c r="BL306" s="111">
        <v>1087180.77842762</v>
      </c>
      <c r="BM306" s="110">
        <f t="shared" si="94"/>
        <v>46001190.044842333</v>
      </c>
      <c r="BN306" s="55"/>
      <c r="BO306" s="55"/>
      <c r="BP306" s="55">
        <v>4497893.3018872403</v>
      </c>
      <c r="BQ306" s="55"/>
      <c r="BR306" s="55"/>
      <c r="BS306" s="55"/>
      <c r="BT306" s="55"/>
      <c r="BU306" s="55"/>
      <c r="BV306" s="55">
        <v>21981498.489577901</v>
      </c>
      <c r="BW306" s="55"/>
      <c r="BX306" s="55"/>
      <c r="BY306" s="55">
        <v>12368954.783286</v>
      </c>
      <c r="BZ306" s="55">
        <v>5496977.6636125296</v>
      </c>
      <c r="CA306" s="63">
        <v>568685.02805103804</v>
      </c>
      <c r="CB306" s="64">
        <v>1087180.77842762</v>
      </c>
      <c r="CD306" s="114"/>
    </row>
    <row r="307" spans="1:84" x14ac:dyDescent="0.25">
      <c r="A307" s="105">
        <f t="shared" ref="A307:A338" si="95">+A306+1</f>
        <v>288</v>
      </c>
      <c r="B307" s="106">
        <f t="shared" si="87"/>
        <v>100</v>
      </c>
      <c r="C307" s="107" t="s">
        <v>108</v>
      </c>
      <c r="D307" s="107" t="s">
        <v>178</v>
      </c>
      <c r="E307" s="54">
        <v>1966</v>
      </c>
      <c r="F307" s="54">
        <v>2013</v>
      </c>
      <c r="G307" s="54" t="s">
        <v>64</v>
      </c>
      <c r="H307" s="54">
        <v>4</v>
      </c>
      <c r="I307" s="54">
        <v>6</v>
      </c>
      <c r="J307" s="55">
        <v>2829.5</v>
      </c>
      <c r="K307" s="55">
        <v>2537.8000000000002</v>
      </c>
      <c r="L307" s="55">
        <v>230.6</v>
      </c>
      <c r="M307" s="56">
        <v>144</v>
      </c>
      <c r="N307" s="108">
        <f t="shared" si="93"/>
        <v>12858404.06377802</v>
      </c>
      <c r="O307" s="63"/>
      <c r="P307" s="63">
        <f>2935208.39-218044.34</f>
        <v>2717164.0500000003</v>
      </c>
      <c r="Q307" s="63"/>
      <c r="R307" s="63">
        <v>509273.2</v>
      </c>
      <c r="S307" s="63">
        <v>9631966.8137780204</v>
      </c>
      <c r="T307" s="63"/>
      <c r="U307" s="63">
        <v>9188.1000978513803</v>
      </c>
      <c r="V307" s="63">
        <v>1324.2830200640001</v>
      </c>
      <c r="W307" s="109">
        <v>2023</v>
      </c>
      <c r="X307" s="6" t="e">
        <v>#REF!</v>
      </c>
      <c r="Z307" s="62">
        <f>SUM(AA307:AO307)</f>
        <v>15087934.029999997</v>
      </c>
      <c r="AA307" s="55">
        <v>6065034.6402882598</v>
      </c>
      <c r="AB307" s="55">
        <v>2161221.1824524999</v>
      </c>
      <c r="AC307" s="55">
        <v>2257995.2503873799</v>
      </c>
      <c r="AD307" s="55">
        <v>1413647.7960217199</v>
      </c>
      <c r="AE307" s="55">
        <v>864921.32273358002</v>
      </c>
      <c r="AF307" s="55"/>
      <c r="AG307" s="55">
        <v>232731.98563608</v>
      </c>
      <c r="AH307" s="55">
        <v>0</v>
      </c>
      <c r="AI307" s="55">
        <v>0</v>
      </c>
      <c r="AJ307" s="55">
        <v>0</v>
      </c>
      <c r="AK307" s="55">
        <v>0</v>
      </c>
      <c r="AL307" s="55">
        <v>0</v>
      </c>
      <c r="AM307" s="55">
        <v>1657316.1065</v>
      </c>
      <c r="AN307" s="63">
        <v>150879.34030000001</v>
      </c>
      <c r="AO307" s="64">
        <v>284186.40568048001</v>
      </c>
      <c r="AP307" s="61">
        <f>+N307-'Приложение №2'!E307</f>
        <v>0</v>
      </c>
      <c r="AQ307" s="73">
        <v>1632407.51</v>
      </c>
      <c r="AR307" s="3">
        <f>+(K307*10.5+L307*21)*12*0.85</f>
        <v>321192.89999999997</v>
      </c>
      <c r="AS307" s="3">
        <f>+(K307*10.5+L307*21)*12*30</f>
        <v>11336220</v>
      </c>
      <c r="AT307" s="6">
        <f t="shared" si="91"/>
        <v>-1704253.1862219796</v>
      </c>
      <c r="AU307" s="6"/>
      <c r="AV307" s="6"/>
      <c r="AW307" s="110">
        <f t="shared" si="92"/>
        <v>23317560.428327259</v>
      </c>
      <c r="AX307" s="55"/>
      <c r="AY307" s="55"/>
      <c r="AZ307" s="55"/>
      <c r="BA307" s="55"/>
      <c r="BB307" s="55"/>
      <c r="BC307" s="55"/>
      <c r="BD307" s="55"/>
      <c r="BE307" s="55"/>
      <c r="BF307" s="55">
        <v>12083403.596964801</v>
      </c>
      <c r="BG307" s="55">
        <v>0</v>
      </c>
      <c r="BH307" s="55"/>
      <c r="BI307" s="55">
        <v>7268144.6399999997</v>
      </c>
      <c r="BJ307" s="55">
        <v>2732058.4400660498</v>
      </c>
      <c r="BK307" s="63">
        <v>286925.44751838502</v>
      </c>
      <c r="BL307" s="111">
        <v>947028.30377802101</v>
      </c>
      <c r="BM307" s="110">
        <f t="shared" si="94"/>
        <v>23317560.428327259</v>
      </c>
      <c r="BN307" s="55"/>
      <c r="BO307" s="55"/>
      <c r="BP307" s="55"/>
      <c r="BQ307" s="55"/>
      <c r="BR307" s="55"/>
      <c r="BS307" s="55"/>
      <c r="BT307" s="55"/>
      <c r="BU307" s="55"/>
      <c r="BV307" s="55">
        <v>12083403.596964801</v>
      </c>
      <c r="BW307" s="55">
        <v>0</v>
      </c>
      <c r="BX307" s="55"/>
      <c r="BY307" s="55">
        <v>7268144.6399999997</v>
      </c>
      <c r="BZ307" s="55">
        <v>2732058.4400660498</v>
      </c>
      <c r="CA307" s="63">
        <v>286925.44751838502</v>
      </c>
      <c r="CB307" s="64">
        <v>947028.30377802101</v>
      </c>
      <c r="CD307" s="6"/>
    </row>
    <row r="308" spans="1:84" s="69" customFormat="1" x14ac:dyDescent="0.25">
      <c r="A308" s="105">
        <f t="shared" si="95"/>
        <v>289</v>
      </c>
      <c r="B308" s="106">
        <f t="shared" si="87"/>
        <v>101</v>
      </c>
      <c r="C308" s="107" t="s">
        <v>181</v>
      </c>
      <c r="D308" s="107" t="s">
        <v>378</v>
      </c>
      <c r="E308" s="54" t="s">
        <v>183</v>
      </c>
      <c r="F308" s="54"/>
      <c r="G308" s="54" t="s">
        <v>64</v>
      </c>
      <c r="H308" s="54" t="s">
        <v>184</v>
      </c>
      <c r="I308" s="54" t="s">
        <v>184</v>
      </c>
      <c r="J308" s="55">
        <v>3950.89</v>
      </c>
      <c r="K308" s="55">
        <v>3454.6</v>
      </c>
      <c r="L308" s="55">
        <v>0</v>
      </c>
      <c r="M308" s="56">
        <v>153</v>
      </c>
      <c r="N308" s="108">
        <f t="shared" si="93"/>
        <v>35571965.029185772</v>
      </c>
      <c r="O308" s="63">
        <v>0</v>
      </c>
      <c r="P308" s="63">
        <v>25340403.559999999</v>
      </c>
      <c r="Q308" s="63">
        <v>0</v>
      </c>
      <c r="R308" s="63">
        <v>2414088.9500000002</v>
      </c>
      <c r="S308" s="63">
        <v>7817472.5191857703</v>
      </c>
      <c r="T308" s="63"/>
      <c r="U308" s="63">
        <v>17703.248516676002</v>
      </c>
      <c r="V308" s="63">
        <v>1327.2830200640001</v>
      </c>
      <c r="W308" s="109">
        <v>2023</v>
      </c>
      <c r="X308" s="69">
        <v>1263644.1499999999</v>
      </c>
      <c r="Y308" s="69">
        <f>+(K308*9.1+L308*18.19)*12</f>
        <v>377242.31999999995</v>
      </c>
      <c r="AA308" s="70" t="e">
        <v>#REF!</v>
      </c>
      <c r="AD308" s="70" t="e">
        <v>#REF!</v>
      </c>
      <c r="AP308" s="61">
        <f>+N308-'Приложение №2'!E308</f>
        <v>0</v>
      </c>
      <c r="AQ308" s="65">
        <v>2044101.29</v>
      </c>
      <c r="AR308" s="3">
        <f>+(K308*10.5+L308*21)*12*0.85</f>
        <v>369987.66</v>
      </c>
      <c r="AS308" s="3">
        <f>+(K308*10.5+L308*21)*12*30</f>
        <v>13058388</v>
      </c>
      <c r="AT308" s="6">
        <f t="shared" si="91"/>
        <v>-5240915.4808142297</v>
      </c>
      <c r="AU308" s="6" t="e">
        <v>#REF!</v>
      </c>
      <c r="AV308" s="6" t="e">
        <v>#REF!</v>
      </c>
      <c r="AW308" s="110">
        <f t="shared" si="92"/>
        <v>61157642.325708851</v>
      </c>
      <c r="AX308" s="55"/>
      <c r="AY308" s="55"/>
      <c r="AZ308" s="55"/>
      <c r="BA308" s="55"/>
      <c r="BB308" s="55"/>
      <c r="BC308" s="55"/>
      <c r="BD308" s="55"/>
      <c r="BE308" s="55">
        <v>0</v>
      </c>
      <c r="BF308" s="55">
        <v>19539237.221928</v>
      </c>
      <c r="BG308" s="55">
        <v>0</v>
      </c>
      <c r="BH308" s="55">
        <v>26121995.741614498</v>
      </c>
      <c r="BI308" s="55">
        <v>11011049.1693283</v>
      </c>
      <c r="BJ308" s="55">
        <v>2004018.85045511</v>
      </c>
      <c r="BK308" s="63">
        <v>809410.42319716397</v>
      </c>
      <c r="BL308" s="111">
        <v>1671930.91918577</v>
      </c>
      <c r="BM308" s="110">
        <f t="shared" si="94"/>
        <v>48848710.362166353</v>
      </c>
      <c r="BN308" s="55"/>
      <c r="BO308" s="55"/>
      <c r="BP308" s="55"/>
      <c r="BQ308" s="55"/>
      <c r="BR308" s="55"/>
      <c r="BS308" s="55"/>
      <c r="BT308" s="55"/>
      <c r="BU308" s="55">
        <v>0</v>
      </c>
      <c r="BV308" s="55">
        <v>12001166</v>
      </c>
      <c r="BW308" s="55">
        <v>0</v>
      </c>
      <c r="BX308" s="55">
        <v>21351135</v>
      </c>
      <c r="BY308" s="55">
        <v>11011049.1693283</v>
      </c>
      <c r="BZ308" s="55">
        <v>2004018.85045511</v>
      </c>
      <c r="CA308" s="63">
        <v>809410.42319716397</v>
      </c>
      <c r="CB308" s="64">
        <v>1671930.91918577</v>
      </c>
      <c r="CD308" s="114"/>
    </row>
    <row r="309" spans="1:84" x14ac:dyDescent="0.25">
      <c r="A309" s="105">
        <f t="shared" si="95"/>
        <v>290</v>
      </c>
      <c r="B309" s="106">
        <f t="shared" si="87"/>
        <v>102</v>
      </c>
      <c r="C309" s="53" t="s">
        <v>108</v>
      </c>
      <c r="D309" s="53" t="s">
        <v>180</v>
      </c>
      <c r="E309" s="54">
        <v>1995</v>
      </c>
      <c r="F309" s="54">
        <v>2013</v>
      </c>
      <c r="G309" s="54" t="s">
        <v>64</v>
      </c>
      <c r="H309" s="54">
        <v>5</v>
      </c>
      <c r="I309" s="54">
        <v>2</v>
      </c>
      <c r="J309" s="55">
        <v>2325.6999999999998</v>
      </c>
      <c r="K309" s="55">
        <v>1861.6</v>
      </c>
      <c r="L309" s="55">
        <v>0</v>
      </c>
      <c r="M309" s="56">
        <v>45</v>
      </c>
      <c r="N309" s="112">
        <f t="shared" si="93"/>
        <v>1270509.1365078399</v>
      </c>
      <c r="O309" s="55"/>
      <c r="P309" s="63"/>
      <c r="Q309" s="63"/>
      <c r="R309" s="63">
        <v>754929.79</v>
      </c>
      <c r="S309" s="63">
        <v>515579.34650783997</v>
      </c>
      <c r="T309" s="63"/>
      <c r="U309" s="55">
        <v>764.17626166085097</v>
      </c>
      <c r="V309" s="55">
        <v>764.17626166085097</v>
      </c>
      <c r="W309" s="109">
        <v>2023</v>
      </c>
      <c r="X309" s="6" t="e">
        <v>#REF!</v>
      </c>
      <c r="Z309" s="62">
        <f>SUM(AA309:AO309)</f>
        <v>24619973.59</v>
      </c>
      <c r="AA309" s="55">
        <v>4453931.4770332202</v>
      </c>
      <c r="AB309" s="55">
        <v>1587118.89355698</v>
      </c>
      <c r="AC309" s="55">
        <v>1658186.10096636</v>
      </c>
      <c r="AD309" s="55">
        <v>1038129.3440137201</v>
      </c>
      <c r="AE309" s="55">
        <v>0</v>
      </c>
      <c r="AF309" s="55"/>
      <c r="AG309" s="55">
        <v>170909.54989416001</v>
      </c>
      <c r="AH309" s="55">
        <v>0</v>
      </c>
      <c r="AI309" s="55">
        <v>8142464.4194250004</v>
      </c>
      <c r="AJ309" s="55">
        <v>0</v>
      </c>
      <c r="AK309" s="55">
        <v>0</v>
      </c>
      <c r="AL309" s="55">
        <v>4559967.0846529799</v>
      </c>
      <c r="AM309" s="55">
        <v>2290484.5943999998</v>
      </c>
      <c r="AN309" s="63">
        <v>246199.7359</v>
      </c>
      <c r="AO309" s="64">
        <v>472582.39015758003</v>
      </c>
      <c r="AP309" s="61">
        <f>+N309-'Приложение №2'!E309</f>
        <v>0</v>
      </c>
      <c r="AQ309" s="1">
        <v>717879.06</v>
      </c>
      <c r="AR309" s="3">
        <f>+(K309*10+L309*20)*12*0.85</f>
        <v>189883.19999999998</v>
      </c>
      <c r="AS309" s="3">
        <f>+(K309*10+L309*20)*12*30</f>
        <v>6701760</v>
      </c>
      <c r="AT309" s="6">
        <f t="shared" si="91"/>
        <v>-6186180.6534921601</v>
      </c>
      <c r="AU309" s="6" t="e">
        <v>#REF!</v>
      </c>
      <c r="AV309" s="6" t="e">
        <v>#REF!</v>
      </c>
      <c r="AW309" s="62">
        <f t="shared" si="92"/>
        <v>1422590.52870784</v>
      </c>
      <c r="AX309" s="55"/>
      <c r="AY309" s="55"/>
      <c r="AZ309" s="55"/>
      <c r="BA309" s="55">
        <v>754929.79</v>
      </c>
      <c r="BB309" s="55">
        <v>0</v>
      </c>
      <c r="BC309" s="55"/>
      <c r="BD309" s="55"/>
      <c r="BE309" s="55">
        <v>0</v>
      </c>
      <c r="BF309" s="55"/>
      <c r="BG309" s="55">
        <v>0</v>
      </c>
      <c r="BH309" s="55">
        <v>0</v>
      </c>
      <c r="BI309" s="55"/>
      <c r="BJ309" s="55">
        <v>160007.0122</v>
      </c>
      <c r="BK309" s="63">
        <v>24000</v>
      </c>
      <c r="BL309" s="111">
        <v>483653.72650783998</v>
      </c>
      <c r="BM309" s="62">
        <f t="shared" si="94"/>
        <v>1422590.52870784</v>
      </c>
      <c r="BN309" s="55"/>
      <c r="BO309" s="55"/>
      <c r="BP309" s="55"/>
      <c r="BQ309" s="55">
        <v>754929.79</v>
      </c>
      <c r="BR309" s="55">
        <v>0</v>
      </c>
      <c r="BS309" s="55"/>
      <c r="BT309" s="55"/>
      <c r="BU309" s="55">
        <v>0</v>
      </c>
      <c r="BV309" s="55"/>
      <c r="BW309" s="55">
        <v>0</v>
      </c>
      <c r="BX309" s="55">
        <v>0</v>
      </c>
      <c r="BY309" s="55"/>
      <c r="BZ309" s="55">
        <v>160007.0122</v>
      </c>
      <c r="CA309" s="63">
        <v>24000</v>
      </c>
      <c r="CB309" s="64">
        <v>483653.72650783998</v>
      </c>
      <c r="CD309" s="3"/>
    </row>
    <row r="310" spans="1:84" x14ac:dyDescent="0.25">
      <c r="A310" s="105">
        <f t="shared" si="95"/>
        <v>291</v>
      </c>
      <c r="B310" s="106">
        <f t="shared" si="87"/>
        <v>103</v>
      </c>
      <c r="C310" s="53" t="s">
        <v>108</v>
      </c>
      <c r="D310" s="53" t="s">
        <v>379</v>
      </c>
      <c r="E310" s="54">
        <v>1968</v>
      </c>
      <c r="F310" s="54">
        <v>2013</v>
      </c>
      <c r="G310" s="54" t="s">
        <v>64</v>
      </c>
      <c r="H310" s="54">
        <v>5</v>
      </c>
      <c r="I310" s="54">
        <v>5</v>
      </c>
      <c r="J310" s="55">
        <v>3261.1</v>
      </c>
      <c r="K310" s="55">
        <v>2512.5</v>
      </c>
      <c r="L310" s="55">
        <v>664.8</v>
      </c>
      <c r="M310" s="56">
        <v>128</v>
      </c>
      <c r="N310" s="112">
        <f t="shared" si="93"/>
        <v>986383.87502799998</v>
      </c>
      <c r="O310" s="55"/>
      <c r="P310" s="63"/>
      <c r="Q310" s="63"/>
      <c r="R310" s="63"/>
      <c r="S310" s="63">
        <v>986383.87502799998</v>
      </c>
      <c r="T310" s="63"/>
      <c r="U310" s="55">
        <v>1016.77576941163</v>
      </c>
      <c r="V310" s="55">
        <v>1016.77576941163</v>
      </c>
      <c r="W310" s="109">
        <v>2023</v>
      </c>
      <c r="X310" s="6" t="e">
        <v>#REF!</v>
      </c>
      <c r="Z310" s="62">
        <f>SUM(AA310:AO310)</f>
        <v>30275329.636437479</v>
      </c>
      <c r="AA310" s="55">
        <v>6028027.9685480399</v>
      </c>
      <c r="AB310" s="55">
        <v>0</v>
      </c>
      <c r="AC310" s="55">
        <v>2244217.7771235602</v>
      </c>
      <c r="AD310" s="55">
        <v>0</v>
      </c>
      <c r="AE310" s="55">
        <v>1240916.79</v>
      </c>
      <c r="AF310" s="55"/>
      <c r="AG310" s="55">
        <v>0</v>
      </c>
      <c r="AH310" s="55">
        <v>0</v>
      </c>
      <c r="AI310" s="55">
        <v>11020152.3193566</v>
      </c>
      <c r="AJ310" s="55">
        <v>0</v>
      </c>
      <c r="AK310" s="55">
        <v>5721714.1000613999</v>
      </c>
      <c r="AL310" s="55">
        <v>0</v>
      </c>
      <c r="AM310" s="55">
        <v>3056047.9632999999</v>
      </c>
      <c r="AN310" s="63">
        <v>328671.8125</v>
      </c>
      <c r="AO310" s="64">
        <v>635580.90554787999</v>
      </c>
      <c r="AP310" s="61">
        <f>+N310-'Приложение №2'!E310</f>
        <v>0</v>
      </c>
      <c r="AQ310" s="1">
        <v>1018647.82</v>
      </c>
      <c r="AR310" s="3">
        <f>+(K310*10+L310*20)*12*0.85</f>
        <v>391894.2</v>
      </c>
      <c r="AS310" s="3">
        <f>+(K310*10+L310*20)*12*30</f>
        <v>13831560</v>
      </c>
      <c r="AT310" s="6">
        <f t="shared" si="91"/>
        <v>-12845176.124972001</v>
      </c>
      <c r="AU310" s="6" t="e">
        <v>#REF!</v>
      </c>
      <c r="AV310" s="6" t="e">
        <v>#REF!</v>
      </c>
      <c r="AW310" s="62">
        <f t="shared" si="92"/>
        <v>3230601.6521515604</v>
      </c>
      <c r="AX310" s="55"/>
      <c r="AY310" s="55"/>
      <c r="AZ310" s="55">
        <v>2244217.7771235602</v>
      </c>
      <c r="BA310" s="55"/>
      <c r="BB310" s="55">
        <v>982262</v>
      </c>
      <c r="BC310" s="55"/>
      <c r="BD310" s="55"/>
      <c r="BE310" s="55"/>
      <c r="BF310" s="55"/>
      <c r="BG310" s="55"/>
      <c r="BH310" s="55"/>
      <c r="BI310" s="55">
        <v>0</v>
      </c>
      <c r="BJ310" s="55"/>
      <c r="BK310" s="63"/>
      <c r="BL310" s="111">
        <v>4121.8750280000004</v>
      </c>
      <c r="BM310" s="62">
        <f t="shared" si="94"/>
        <v>3230601.6521515604</v>
      </c>
      <c r="BN310" s="55"/>
      <c r="BO310" s="55"/>
      <c r="BP310" s="55">
        <v>2244217.7771235602</v>
      </c>
      <c r="BQ310" s="55"/>
      <c r="BR310" s="55">
        <v>982262</v>
      </c>
      <c r="BS310" s="55"/>
      <c r="BT310" s="55"/>
      <c r="BU310" s="55"/>
      <c r="BV310" s="55"/>
      <c r="BW310" s="55"/>
      <c r="BX310" s="55"/>
      <c r="BY310" s="55">
        <v>0</v>
      </c>
      <c r="BZ310" s="55"/>
      <c r="CA310" s="63"/>
      <c r="CB310" s="64">
        <v>4121.8750280000004</v>
      </c>
      <c r="CD310" s="6"/>
    </row>
    <row r="311" spans="1:84" s="69" customFormat="1" x14ac:dyDescent="0.25">
      <c r="A311" s="105">
        <f t="shared" si="95"/>
        <v>292</v>
      </c>
      <c r="B311" s="106">
        <f t="shared" si="87"/>
        <v>104</v>
      </c>
      <c r="C311" s="107" t="s">
        <v>108</v>
      </c>
      <c r="D311" s="107" t="s">
        <v>187</v>
      </c>
      <c r="E311" s="54" t="s">
        <v>377</v>
      </c>
      <c r="F311" s="54"/>
      <c r="G311" s="54" t="s">
        <v>64</v>
      </c>
      <c r="H311" s="54" t="s">
        <v>184</v>
      </c>
      <c r="I311" s="54" t="s">
        <v>185</v>
      </c>
      <c r="J311" s="55">
        <v>5678.2</v>
      </c>
      <c r="K311" s="55">
        <v>4923.8</v>
      </c>
      <c r="L311" s="55">
        <v>69.900000000000006</v>
      </c>
      <c r="M311" s="56">
        <v>205</v>
      </c>
      <c r="N311" s="108">
        <f t="shared" si="93"/>
        <v>39293960.141443096</v>
      </c>
      <c r="O311" s="63">
        <v>0</v>
      </c>
      <c r="P311" s="63">
        <v>14385532.07</v>
      </c>
      <c r="Q311" s="63">
        <v>0</v>
      </c>
      <c r="R311" s="63">
        <v>1148817.27</v>
      </c>
      <c r="S311" s="63">
        <v>12054694.5414431</v>
      </c>
      <c r="T311" s="63">
        <v>11704916.26</v>
      </c>
      <c r="U311" s="55">
        <v>13256.845144132099</v>
      </c>
      <c r="V311" s="55">
        <v>13256.845144132099</v>
      </c>
      <c r="W311" s="109">
        <v>2023</v>
      </c>
      <c r="X311" s="69">
        <v>1831927.01</v>
      </c>
      <c r="Y311" s="69">
        <f>+(K311*9.1+L311*18.19)*12</f>
        <v>552936.73200000008</v>
      </c>
      <c r="AA311" s="70" t="e">
        <v>#REF!</v>
      </c>
      <c r="AD311" s="70" t="e">
        <v>#REF!</v>
      </c>
      <c r="AP311" s="61">
        <f>+N311-'Приложение №2'!E311</f>
        <v>0</v>
      </c>
      <c r="AQ311" s="69">
        <v>2280888.52</v>
      </c>
      <c r="AR311" s="3">
        <f>+(K311*10+L311*20)*12*0.85</f>
        <v>516487.2</v>
      </c>
      <c r="AS311" s="3">
        <f>+(K311*10+L311*20)*12*30</f>
        <v>18228960</v>
      </c>
      <c r="AT311" s="6">
        <f t="shared" si="91"/>
        <v>-6174265.4585568998</v>
      </c>
      <c r="AU311" s="6" t="e">
        <v>#REF!</v>
      </c>
      <c r="AV311" s="6" t="e">
        <v>#REF!</v>
      </c>
      <c r="AW311" s="62">
        <f t="shared" si="92"/>
        <v>66200707.596252516</v>
      </c>
      <c r="AX311" s="55">
        <v>8835258.7268668804</v>
      </c>
      <c r="AY311" s="55"/>
      <c r="AZ311" s="55">
        <v>5569271.4127483098</v>
      </c>
      <c r="BA311" s="55">
        <v>4295867.3561626999</v>
      </c>
      <c r="BB311" s="55"/>
      <c r="BC311" s="55"/>
      <c r="BD311" s="55">
        <v>418101.46163142798</v>
      </c>
      <c r="BE311" s="55"/>
      <c r="BF311" s="55"/>
      <c r="BG311" s="55"/>
      <c r="BH311" s="55">
        <v>31664608.563177802</v>
      </c>
      <c r="BI311" s="55">
        <v>12348392.0298228</v>
      </c>
      <c r="BJ311" s="55">
        <v>1482907.8558986599</v>
      </c>
      <c r="BK311" s="55">
        <v>48725.618500800003</v>
      </c>
      <c r="BL311" s="76">
        <v>1537574.57144314</v>
      </c>
      <c r="BM311" s="62">
        <f t="shared" si="94"/>
        <v>59551856.546429724</v>
      </c>
      <c r="BN311" s="55">
        <v>8835258.7268668804</v>
      </c>
      <c r="BO311" s="55"/>
      <c r="BP311" s="55">
        <v>5569271.4127483098</v>
      </c>
      <c r="BQ311" s="55">
        <v>4295867.3561626999</v>
      </c>
      <c r="BR311" s="55"/>
      <c r="BS311" s="55"/>
      <c r="BT311" s="55">
        <v>418101.46163142798</v>
      </c>
      <c r="BU311" s="55"/>
      <c r="BV311" s="55"/>
      <c r="BW311" s="55"/>
      <c r="BX311" s="55">
        <v>31664608.563177802</v>
      </c>
      <c r="BY311" s="55">
        <v>5699540.9800000004</v>
      </c>
      <c r="BZ311" s="55">
        <v>1482907.8558986599</v>
      </c>
      <c r="CA311" s="55">
        <v>48725.618500800003</v>
      </c>
      <c r="CB311" s="60">
        <v>1537574.57144314</v>
      </c>
      <c r="CD311" s="133"/>
      <c r="CE311" s="114"/>
    </row>
    <row r="312" spans="1:84" s="69" customFormat="1" x14ac:dyDescent="0.25">
      <c r="A312" s="105">
        <f t="shared" si="95"/>
        <v>293</v>
      </c>
      <c r="B312" s="106">
        <f t="shared" si="87"/>
        <v>105</v>
      </c>
      <c r="C312" s="53" t="s">
        <v>108</v>
      </c>
      <c r="D312" s="53" t="s">
        <v>380</v>
      </c>
      <c r="E312" s="54" t="s">
        <v>377</v>
      </c>
      <c r="F312" s="54"/>
      <c r="G312" s="54" t="s">
        <v>64</v>
      </c>
      <c r="H312" s="54" t="s">
        <v>184</v>
      </c>
      <c r="I312" s="54" t="s">
        <v>185</v>
      </c>
      <c r="J312" s="55">
        <v>5563.5</v>
      </c>
      <c r="K312" s="55">
        <v>4878.8999999999996</v>
      </c>
      <c r="L312" s="55">
        <v>141.30000000000001</v>
      </c>
      <c r="M312" s="56">
        <v>202</v>
      </c>
      <c r="N312" s="112">
        <f t="shared" si="93"/>
        <v>7973186.4470821107</v>
      </c>
      <c r="O312" s="55">
        <v>0</v>
      </c>
      <c r="P312" s="63"/>
      <c r="Q312" s="63">
        <v>0</v>
      </c>
      <c r="R312" s="63">
        <v>1687675.76663143</v>
      </c>
      <c r="S312" s="63">
        <v>4892292.1504506804</v>
      </c>
      <c r="T312" s="63">
        <v>1393218.53</v>
      </c>
      <c r="U312" s="55">
        <v>4093.5248052566299</v>
      </c>
      <c r="V312" s="55">
        <v>4093.5248052566299</v>
      </c>
      <c r="W312" s="109">
        <v>2023</v>
      </c>
      <c r="X312" s="69">
        <v>1863663.58</v>
      </c>
      <c r="Y312" s="69">
        <f>+(K312*9.1+L312*18.19)*12</f>
        <v>563618.84400000004</v>
      </c>
      <c r="AA312" s="70" t="e">
        <v>#REF!</v>
      </c>
      <c r="AD312" s="70" t="e">
        <v>#REF!</v>
      </c>
      <c r="AP312" s="61">
        <f>+N312-'Приложение №2'!E312</f>
        <v>-3.3685695379972458E-3</v>
      </c>
      <c r="AQ312" s="69">
        <v>2384583.81</v>
      </c>
      <c r="AR312" s="3">
        <f>+(K312*10+L312*20)*12*0.85</f>
        <v>526473</v>
      </c>
      <c r="AS312" s="3">
        <f>+(K312*10+L312*20)*12*30</f>
        <v>18581400</v>
      </c>
      <c r="AT312" s="6">
        <f t="shared" si="91"/>
        <v>-13689107.84954932</v>
      </c>
      <c r="AU312" s="6" t="e">
        <v>#REF!</v>
      </c>
      <c r="AV312" s="6" t="e">
        <v>#REF!</v>
      </c>
      <c r="AW312" s="62">
        <f t="shared" si="92"/>
        <v>20550313.227349382</v>
      </c>
      <c r="AX312" s="55"/>
      <c r="AY312" s="55"/>
      <c r="AZ312" s="55">
        <v>5439076.9790404001</v>
      </c>
      <c r="BA312" s="55"/>
      <c r="BB312" s="55"/>
      <c r="BC312" s="55"/>
      <c r="BD312" s="55"/>
      <c r="BE312" s="55"/>
      <c r="BF312" s="55"/>
      <c r="BG312" s="55"/>
      <c r="BH312" s="55"/>
      <c r="BI312" s="55">
        <v>12054826.9045102</v>
      </c>
      <c r="BJ312" s="55">
        <v>1506877.3285041</v>
      </c>
      <c r="BK312" s="55">
        <v>48520.724843999997</v>
      </c>
      <c r="BL312" s="76">
        <v>1501011.2904506801</v>
      </c>
      <c r="BM312" s="62">
        <f t="shared" si="94"/>
        <v>14710634.622839179</v>
      </c>
      <c r="BN312" s="55"/>
      <c r="BO312" s="55"/>
      <c r="BP312" s="55">
        <v>5439076.9790404001</v>
      </c>
      <c r="BQ312" s="55"/>
      <c r="BR312" s="55"/>
      <c r="BS312" s="55"/>
      <c r="BT312" s="55"/>
      <c r="BU312" s="55"/>
      <c r="BV312" s="55"/>
      <c r="BW312" s="55"/>
      <c r="BX312" s="55"/>
      <c r="BY312" s="55">
        <v>6215148.2999999998</v>
      </c>
      <c r="BZ312" s="55">
        <v>1506877.3285041</v>
      </c>
      <c r="CA312" s="55">
        <v>48520.724843999997</v>
      </c>
      <c r="CB312" s="60">
        <v>1501011.2904506801</v>
      </c>
      <c r="CD312" s="114"/>
      <c r="CE312" s="114"/>
    </row>
    <row r="313" spans="1:84" s="69" customFormat="1" x14ac:dyDescent="0.25">
      <c r="A313" s="105">
        <f t="shared" si="95"/>
        <v>294</v>
      </c>
      <c r="B313" s="106">
        <f t="shared" si="87"/>
        <v>106</v>
      </c>
      <c r="C313" s="53" t="s">
        <v>181</v>
      </c>
      <c r="D313" s="53" t="s">
        <v>381</v>
      </c>
      <c r="E313" s="54" t="s">
        <v>183</v>
      </c>
      <c r="F313" s="54"/>
      <c r="G313" s="54" t="s">
        <v>64</v>
      </c>
      <c r="H313" s="54" t="s">
        <v>184</v>
      </c>
      <c r="I313" s="54" t="s">
        <v>185</v>
      </c>
      <c r="J313" s="55">
        <v>5751.1</v>
      </c>
      <c r="K313" s="55">
        <v>4971.6000000000004</v>
      </c>
      <c r="L313" s="55">
        <v>0</v>
      </c>
      <c r="M313" s="56">
        <v>221</v>
      </c>
      <c r="N313" s="112">
        <f t="shared" si="93"/>
        <v>24078282.865639899</v>
      </c>
      <c r="O313" s="55">
        <v>0</v>
      </c>
      <c r="P313" s="63"/>
      <c r="Q313" s="63">
        <v>0</v>
      </c>
      <c r="R313" s="63">
        <v>2732123.25</v>
      </c>
      <c r="S313" s="63">
        <v>21346159.615639899</v>
      </c>
      <c r="T313" s="63"/>
      <c r="U313" s="63">
        <v>10054.0694105366</v>
      </c>
      <c r="V313" s="63">
        <v>1330.2830200640001</v>
      </c>
      <c r="W313" s="109">
        <v>2023</v>
      </c>
      <c r="X313" s="69">
        <v>1827431.02</v>
      </c>
      <c r="Y313" s="69">
        <f>+(K313*9.1+L313*18.19)*12</f>
        <v>542898.72000000009</v>
      </c>
      <c r="AA313" s="70" t="e">
        <v>#REF!</v>
      </c>
      <c r="AD313" s="70" t="e">
        <v>#REF!</v>
      </c>
      <c r="AP313" s="61">
        <f>+N313-'Приложение №2'!E313</f>
        <v>4.8428773880004883E-8</v>
      </c>
      <c r="AQ313" s="65">
        <v>2885684.78</v>
      </c>
      <c r="AR313" s="3">
        <f>+(K313*10.5+L313*21)*12*0.85</f>
        <v>532458.3600000001</v>
      </c>
      <c r="AS313" s="3">
        <f>+(K313*10.5+L313*21)*12*30</f>
        <v>18792648.000000004</v>
      </c>
      <c r="AT313" s="6">
        <f t="shared" si="91"/>
        <v>2553511.6156398952</v>
      </c>
      <c r="AU313" s="6" t="e">
        <v>#REF!</v>
      </c>
      <c r="AV313" s="6" t="e">
        <v>#REF!</v>
      </c>
      <c r="AW313" s="110">
        <f t="shared" si="92"/>
        <v>49984811.48142352</v>
      </c>
      <c r="AX313" s="55">
        <v>8299975.9537642198</v>
      </c>
      <c r="AY313" s="55">
        <v>4800122.69708414</v>
      </c>
      <c r="AZ313" s="55">
        <v>0</v>
      </c>
      <c r="BA313" s="55">
        <v>0</v>
      </c>
      <c r="BB313" s="55"/>
      <c r="BC313" s="55"/>
      <c r="BD313" s="55">
        <v>412435.57775988901</v>
      </c>
      <c r="BE313" s="55">
        <v>0</v>
      </c>
      <c r="BF313" s="55">
        <v>14775207.726083901</v>
      </c>
      <c r="BG313" s="55">
        <v>0</v>
      </c>
      <c r="BH313" s="55"/>
      <c r="BI313" s="55">
        <v>11281898.466324899</v>
      </c>
      <c r="BJ313" s="55">
        <v>8086588.8803274296</v>
      </c>
      <c r="BK313" s="63">
        <v>802166.09443918301</v>
      </c>
      <c r="BL313" s="111">
        <v>1526416.08563985</v>
      </c>
      <c r="BM313" s="110">
        <f t="shared" si="94"/>
        <v>47067749.255339615</v>
      </c>
      <c r="BN313" s="55">
        <v>8299975.9537642198</v>
      </c>
      <c r="BO313" s="55">
        <v>4800122.69708414</v>
      </c>
      <c r="BP313" s="55">
        <v>0</v>
      </c>
      <c r="BQ313" s="55">
        <v>0</v>
      </c>
      <c r="BR313" s="55"/>
      <c r="BS313" s="55"/>
      <c r="BT313" s="55">
        <v>412435.57775988901</v>
      </c>
      <c r="BU313" s="55">
        <v>0</v>
      </c>
      <c r="BV313" s="55">
        <v>11858145.5</v>
      </c>
      <c r="BW313" s="55">
        <v>0</v>
      </c>
      <c r="BX313" s="55"/>
      <c r="BY313" s="55">
        <v>11281898.466324899</v>
      </c>
      <c r="BZ313" s="55">
        <v>8086588.8803274296</v>
      </c>
      <c r="CA313" s="63">
        <v>802166.09443918301</v>
      </c>
      <c r="CB313" s="64">
        <v>1526416.08563985</v>
      </c>
      <c r="CD313" s="114"/>
    </row>
    <row r="314" spans="1:84" s="69" customFormat="1" ht="14.25" customHeight="1" x14ac:dyDescent="0.25">
      <c r="A314" s="105">
        <f t="shared" si="95"/>
        <v>295</v>
      </c>
      <c r="B314" s="106">
        <f t="shared" ref="B314:B345" si="96">+B313+1</f>
        <v>107</v>
      </c>
      <c r="C314" s="107" t="s">
        <v>108</v>
      </c>
      <c r="D314" s="53" t="s">
        <v>382</v>
      </c>
      <c r="E314" s="54" t="s">
        <v>183</v>
      </c>
      <c r="F314" s="54"/>
      <c r="G314" s="54" t="s">
        <v>64</v>
      </c>
      <c r="H314" s="54" t="s">
        <v>184</v>
      </c>
      <c r="I314" s="54" t="s">
        <v>185</v>
      </c>
      <c r="J314" s="55">
        <v>5677.5</v>
      </c>
      <c r="K314" s="55">
        <v>4896.3999999999996</v>
      </c>
      <c r="L314" s="55">
        <v>72</v>
      </c>
      <c r="M314" s="56">
        <v>216</v>
      </c>
      <c r="N314" s="108">
        <f t="shared" si="93"/>
        <v>21047202.209023397</v>
      </c>
      <c r="O314" s="63">
        <v>0</v>
      </c>
      <c r="P314" s="63">
        <v>2611305.66</v>
      </c>
      <c r="Q314" s="63"/>
      <c r="R314" s="63">
        <v>933265.76</v>
      </c>
      <c r="S314" s="63">
        <v>14891325.129023399</v>
      </c>
      <c r="T314" s="63">
        <v>2611305.66</v>
      </c>
      <c r="U314" s="55">
        <v>4733.6101241229198</v>
      </c>
      <c r="V314" s="55">
        <v>4733.6101241229198</v>
      </c>
      <c r="W314" s="109">
        <v>2023</v>
      </c>
      <c r="X314" s="69">
        <v>1825680.39</v>
      </c>
      <c r="Y314" s="69">
        <f>+(K314*9.1+L314*18.19)*12</f>
        <v>550403.04</v>
      </c>
      <c r="AA314" s="70" t="e">
        <v>#REF!</v>
      </c>
      <c r="AD314" s="70" t="e">
        <v>#REF!</v>
      </c>
      <c r="AP314" s="61">
        <f>+N314-'Приложение №2'!E314</f>
        <v>0</v>
      </c>
      <c r="AQ314" s="114">
        <f>2265420.6-R122</f>
        <v>-280804.35999999987</v>
      </c>
      <c r="AR314" s="3">
        <f>+(K314*10+L314*20)*12*0.85</f>
        <v>514120.8</v>
      </c>
      <c r="AS314" s="3">
        <f>+(K314*10.5+L314*21)*12*30</f>
        <v>19052711.999999996</v>
      </c>
      <c r="AT314" s="6">
        <f t="shared" si="91"/>
        <v>-4161386.8709765971</v>
      </c>
      <c r="AU314" s="6" t="e">
        <v>#REF!</v>
      </c>
      <c r="AV314" s="6" t="e">
        <v>#REF!</v>
      </c>
      <c r="AW314" s="62">
        <f t="shared" si="92"/>
        <v>23518468.540692288</v>
      </c>
      <c r="AX314" s="55">
        <v>8730606.6099999994</v>
      </c>
      <c r="AY314" s="55">
        <v>4797033.0694731697</v>
      </c>
      <c r="AZ314" s="55">
        <v>3230753.86</v>
      </c>
      <c r="BA314" s="55">
        <v>4393629.08</v>
      </c>
      <c r="BB314" s="55"/>
      <c r="BC314" s="55"/>
      <c r="BD314" s="55">
        <v>412170.11113972001</v>
      </c>
      <c r="BE314" s="55"/>
      <c r="BF314" s="55"/>
      <c r="BG314" s="55"/>
      <c r="BH314" s="55"/>
      <c r="BI314" s="136"/>
      <c r="BJ314" s="55">
        <v>205354.86105599999</v>
      </c>
      <c r="BK314" s="55">
        <v>24000</v>
      </c>
      <c r="BL314" s="76">
        <f>43868.9490234015+1681052</f>
        <v>1724920.9490234016</v>
      </c>
      <c r="BM314" s="62">
        <f t="shared" si="94"/>
        <v>23518468.540692288</v>
      </c>
      <c r="BN314" s="55">
        <v>8730606.6099999994</v>
      </c>
      <c r="BO314" s="55">
        <v>4797033.0694731697</v>
      </c>
      <c r="BP314" s="55">
        <v>3230753.86</v>
      </c>
      <c r="BQ314" s="55">
        <v>4393629.08</v>
      </c>
      <c r="BR314" s="55"/>
      <c r="BS314" s="55"/>
      <c r="BT314" s="55">
        <v>412170.11113972001</v>
      </c>
      <c r="BU314" s="55"/>
      <c r="BV314" s="55"/>
      <c r="BW314" s="55"/>
      <c r="BX314" s="55"/>
      <c r="BY314" s="136"/>
      <c r="BZ314" s="55">
        <v>205354.86105599999</v>
      </c>
      <c r="CA314" s="55">
        <v>24000</v>
      </c>
      <c r="CB314" s="60">
        <f>43868.9490234015+1681052</f>
        <v>1724920.9490234016</v>
      </c>
      <c r="CD314" s="133"/>
      <c r="CE314" s="114"/>
      <c r="CF314" s="133"/>
    </row>
    <row r="315" spans="1:84" x14ac:dyDescent="0.25">
      <c r="A315" s="105">
        <f t="shared" si="95"/>
        <v>296</v>
      </c>
      <c r="B315" s="106">
        <f t="shared" si="96"/>
        <v>108</v>
      </c>
      <c r="C315" s="53" t="s">
        <v>108</v>
      </c>
      <c r="D315" s="53" t="s">
        <v>383</v>
      </c>
      <c r="E315" s="54">
        <v>1968</v>
      </c>
      <c r="F315" s="54">
        <v>2013</v>
      </c>
      <c r="G315" s="54" t="s">
        <v>64</v>
      </c>
      <c r="H315" s="54">
        <v>4</v>
      </c>
      <c r="I315" s="54">
        <v>3</v>
      </c>
      <c r="J315" s="55">
        <v>2488.5</v>
      </c>
      <c r="K315" s="55">
        <v>2348.1999999999998</v>
      </c>
      <c r="L315" s="55">
        <v>69.599999999999994</v>
      </c>
      <c r="M315" s="56">
        <v>56</v>
      </c>
      <c r="N315" s="112">
        <f t="shared" si="93"/>
        <v>6444413.2562080007</v>
      </c>
      <c r="O315" s="55"/>
      <c r="P315" s="63"/>
      <c r="Q315" s="63"/>
      <c r="R315" s="63">
        <v>149451.85999999999</v>
      </c>
      <c r="S315" s="63">
        <v>6294961.3962080004</v>
      </c>
      <c r="T315" s="55"/>
      <c r="U315" s="63">
        <v>4337.0781914909303</v>
      </c>
      <c r="V315" s="63">
        <v>4337.0781914909303</v>
      </c>
      <c r="W315" s="109">
        <v>2023</v>
      </c>
      <c r="X315" s="6" t="e">
        <v>#REF!</v>
      </c>
      <c r="Z315" s="62">
        <f>SUM(AA315:AO315)</f>
        <v>5047649.35409299</v>
      </c>
      <c r="AA315" s="55">
        <v>0</v>
      </c>
      <c r="AB315" s="55">
        <v>2080965.3426794701</v>
      </c>
      <c r="AC315" s="55">
        <v>0</v>
      </c>
      <c r="AD315" s="55">
        <v>1397905.6390375199</v>
      </c>
      <c r="AE315" s="55">
        <v>1036272.831972</v>
      </c>
      <c r="AF315" s="55"/>
      <c r="AG315" s="55">
        <v>210866.25214200001</v>
      </c>
      <c r="AH315" s="55">
        <v>0</v>
      </c>
      <c r="AI315" s="55">
        <v>0</v>
      </c>
      <c r="AJ315" s="55">
        <v>0</v>
      </c>
      <c r="AK315" s="55">
        <v>0</v>
      </c>
      <c r="AL315" s="55">
        <v>0</v>
      </c>
      <c r="AM315" s="55">
        <v>173345.08</v>
      </c>
      <c r="AN315" s="55">
        <v>44945.94</v>
      </c>
      <c r="AO315" s="64">
        <v>103348.268262</v>
      </c>
      <c r="AP315" s="61">
        <f>+N315-'Приложение №2'!E315</f>
        <v>0</v>
      </c>
      <c r="AQ315" s="1">
        <v>1248740.06</v>
      </c>
      <c r="AR315" s="3">
        <f>+(K315*10+L315*20)*12*0.85</f>
        <v>253714.8</v>
      </c>
      <c r="AS315" s="3">
        <f>+(K315*10+L315*20)*12*30</f>
        <v>8954640</v>
      </c>
      <c r="AT315" s="6">
        <f t="shared" si="91"/>
        <v>-2659678.6037919996</v>
      </c>
      <c r="AU315" s="6" t="e">
        <v>#REF!</v>
      </c>
      <c r="AV315" s="6" t="e">
        <v>#REF!</v>
      </c>
      <c r="AW315" s="62">
        <f t="shared" si="92"/>
        <v>10486187.651386769</v>
      </c>
      <c r="AX315" s="55">
        <v>0</v>
      </c>
      <c r="AY315" s="55">
        <v>2080965.3426794701</v>
      </c>
      <c r="AZ315" s="55">
        <v>0</v>
      </c>
      <c r="BA315" s="55">
        <v>1397905.6390375199</v>
      </c>
      <c r="BB315" s="55"/>
      <c r="BC315" s="55"/>
      <c r="BD315" s="55"/>
      <c r="BE315" s="55">
        <v>0</v>
      </c>
      <c r="BF315" s="55">
        <v>0</v>
      </c>
      <c r="BG315" s="55">
        <v>0</v>
      </c>
      <c r="BH315" s="55">
        <v>0</v>
      </c>
      <c r="BI315" s="55">
        <v>5909986.0434617801</v>
      </c>
      <c r="BJ315" s="55">
        <v>518300.47</v>
      </c>
      <c r="BK315" s="55"/>
      <c r="BL315" s="111">
        <f>19668.156208+559362</f>
        <v>579030.15620800003</v>
      </c>
      <c r="BM315" s="62">
        <f t="shared" si="94"/>
        <v>10486187.651386769</v>
      </c>
      <c r="BN315" s="55">
        <v>0</v>
      </c>
      <c r="BO315" s="55">
        <v>2080965.3426794701</v>
      </c>
      <c r="BP315" s="55">
        <v>0</v>
      </c>
      <c r="BQ315" s="55">
        <v>1397905.6390375199</v>
      </c>
      <c r="BR315" s="55"/>
      <c r="BS315" s="55"/>
      <c r="BT315" s="55"/>
      <c r="BU315" s="55">
        <v>0</v>
      </c>
      <c r="BV315" s="55">
        <v>0</v>
      </c>
      <c r="BW315" s="55">
        <v>0</v>
      </c>
      <c r="BX315" s="55">
        <v>0</v>
      </c>
      <c r="BY315" s="55">
        <v>5909986.0434617801</v>
      </c>
      <c r="BZ315" s="55">
        <v>518300.47</v>
      </c>
      <c r="CA315" s="55"/>
      <c r="CB315" s="64">
        <f>19668.156208+559362</f>
        <v>579030.15620800003</v>
      </c>
      <c r="CD315" s="6"/>
      <c r="CE315" s="6"/>
    </row>
    <row r="316" spans="1:84" s="69" customFormat="1" x14ac:dyDescent="0.25">
      <c r="A316" s="105">
        <f t="shared" si="95"/>
        <v>297</v>
      </c>
      <c r="B316" s="106">
        <f t="shared" si="96"/>
        <v>109</v>
      </c>
      <c r="C316" s="53" t="s">
        <v>108</v>
      </c>
      <c r="D316" s="53" t="s">
        <v>384</v>
      </c>
      <c r="E316" s="54" t="s">
        <v>340</v>
      </c>
      <c r="F316" s="54"/>
      <c r="G316" s="54" t="s">
        <v>64</v>
      </c>
      <c r="H316" s="54" t="s">
        <v>184</v>
      </c>
      <c r="I316" s="54" t="s">
        <v>184</v>
      </c>
      <c r="J316" s="55">
        <v>2960.3</v>
      </c>
      <c r="K316" s="55">
        <v>2725</v>
      </c>
      <c r="L316" s="55">
        <v>0</v>
      </c>
      <c r="M316" s="56">
        <v>121</v>
      </c>
      <c r="N316" s="112">
        <f t="shared" si="93"/>
        <v>4637612.7555876207</v>
      </c>
      <c r="O316" s="55">
        <v>0</v>
      </c>
      <c r="P316" s="63"/>
      <c r="Q316" s="63">
        <v>0</v>
      </c>
      <c r="R316" s="63">
        <v>756433.77</v>
      </c>
      <c r="S316" s="63">
        <v>3881178.9855876202</v>
      </c>
      <c r="T316" s="63"/>
      <c r="U316" s="55">
        <v>3792.1895109411298</v>
      </c>
      <c r="V316" s="55">
        <v>3792.1895109411298</v>
      </c>
      <c r="W316" s="109">
        <v>2023</v>
      </c>
      <c r="X316" s="69">
        <v>1033423.53</v>
      </c>
      <c r="Y316" s="69">
        <f>+(K316*9.1+L316*18.19)*12</f>
        <v>297570</v>
      </c>
      <c r="AA316" s="70" t="e">
        <v>#REF!</v>
      </c>
      <c r="AD316" s="70" t="e">
        <v>#REF!</v>
      </c>
      <c r="AP316" s="61">
        <f>+N316-'Приложение №2'!E316</f>
        <v>0</v>
      </c>
      <c r="AQ316" s="69">
        <v>1333137.2</v>
      </c>
      <c r="AR316" s="3">
        <f>+(K316*10+L316*20)*12*0.85</f>
        <v>277950</v>
      </c>
      <c r="AS316" s="3">
        <f>+(K316*10+L316*20)*12*30</f>
        <v>9810000</v>
      </c>
      <c r="AT316" s="6">
        <f t="shared" si="91"/>
        <v>-5928821.0144123798</v>
      </c>
      <c r="AU316" s="6" t="e">
        <v>#REF!</v>
      </c>
      <c r="AV316" s="6" t="e">
        <v>#REF!</v>
      </c>
      <c r="AW316" s="62">
        <f t="shared" si="92"/>
        <v>10333716.417314585</v>
      </c>
      <c r="AX316" s="7"/>
      <c r="AY316" s="7"/>
      <c r="AZ316" s="7"/>
      <c r="BA316" s="55">
        <v>1613543.15222058</v>
      </c>
      <c r="BB316" s="55"/>
      <c r="BC316" s="55"/>
      <c r="BD316" s="55"/>
      <c r="BE316" s="55"/>
      <c r="BF316" s="55"/>
      <c r="BG316" s="55"/>
      <c r="BH316" s="55"/>
      <c r="BI316" s="55">
        <v>7272213.9060160602</v>
      </c>
      <c r="BJ316" s="55">
        <v>742671.38934712706</v>
      </c>
      <c r="BK316" s="55">
        <v>43870.514143200002</v>
      </c>
      <c r="BL316" s="76">
        <v>661417.45558761898</v>
      </c>
      <c r="BM316" s="62">
        <f t="shared" si="94"/>
        <v>6842755.7312985258</v>
      </c>
      <c r="BN316" s="7"/>
      <c r="BO316" s="7"/>
      <c r="BP316" s="7"/>
      <c r="BQ316" s="55">
        <v>1613543.15222058</v>
      </c>
      <c r="BR316" s="55"/>
      <c r="BS316" s="55"/>
      <c r="BT316" s="55"/>
      <c r="BU316" s="55"/>
      <c r="BV316" s="55"/>
      <c r="BW316" s="55"/>
      <c r="BX316" s="55"/>
      <c r="BY316" s="118">
        <v>3781253.22</v>
      </c>
      <c r="BZ316" s="55">
        <v>742671.38934712706</v>
      </c>
      <c r="CA316" s="55">
        <v>43870.514143200002</v>
      </c>
      <c r="CB316" s="60">
        <v>661417.45558761898</v>
      </c>
      <c r="CD316" s="114"/>
    </row>
    <row r="317" spans="1:84" x14ac:dyDescent="0.25">
      <c r="A317" s="105">
        <f t="shared" si="95"/>
        <v>298</v>
      </c>
      <c r="B317" s="106">
        <f t="shared" si="96"/>
        <v>110</v>
      </c>
      <c r="C317" s="107" t="s">
        <v>108</v>
      </c>
      <c r="D317" s="107" t="s">
        <v>194</v>
      </c>
      <c r="E317" s="54">
        <v>1975</v>
      </c>
      <c r="F317" s="54">
        <v>2013</v>
      </c>
      <c r="G317" s="54" t="s">
        <v>64</v>
      </c>
      <c r="H317" s="54">
        <v>4</v>
      </c>
      <c r="I317" s="54">
        <v>6</v>
      </c>
      <c r="J317" s="55">
        <v>5531.3</v>
      </c>
      <c r="K317" s="55">
        <v>4842.7</v>
      </c>
      <c r="L317" s="55">
        <v>189.7</v>
      </c>
      <c r="M317" s="56">
        <v>224</v>
      </c>
      <c r="N317" s="108">
        <f t="shared" si="93"/>
        <v>15189969.617659999</v>
      </c>
      <c r="O317" s="63"/>
      <c r="P317" s="63">
        <v>10669071.289999999</v>
      </c>
      <c r="Q317" s="63"/>
      <c r="R317" s="63">
        <v>242999.65</v>
      </c>
      <c r="S317" s="63">
        <v>4277898.6776599996</v>
      </c>
      <c r="T317" s="63"/>
      <c r="U317" s="55">
        <v>5890.5510426559904</v>
      </c>
      <c r="V317" s="55">
        <v>5890.5510426559904</v>
      </c>
      <c r="W317" s="109">
        <v>2023</v>
      </c>
      <c r="X317" s="6" t="e">
        <v>#REF!</v>
      </c>
      <c r="Z317" s="62">
        <f t="shared" ref="Z317:Z322" si="97">SUM(AA317:AO317)</f>
        <v>87511152</v>
      </c>
      <c r="AA317" s="55">
        <v>8013494.3878079997</v>
      </c>
      <c r="AB317" s="55">
        <v>4634422.8779520001</v>
      </c>
      <c r="AC317" s="55">
        <v>4898928.1239360003</v>
      </c>
      <c r="AD317" s="55">
        <v>3735474.3417600002</v>
      </c>
      <c r="AE317" s="55">
        <v>1492245.5325120001</v>
      </c>
      <c r="AF317" s="55"/>
      <c r="AG317" s="55">
        <v>398188.42560000002</v>
      </c>
      <c r="AH317" s="55">
        <v>0</v>
      </c>
      <c r="AI317" s="55">
        <v>14265240.0912</v>
      </c>
      <c r="AJ317" s="55">
        <v>0</v>
      </c>
      <c r="AK317" s="55">
        <v>27696044.559455998</v>
      </c>
      <c r="AL317" s="55">
        <v>10892499.105599999</v>
      </c>
      <c r="AM317" s="55">
        <v>8946956.6400000006</v>
      </c>
      <c r="AN317" s="63">
        <v>875111.52</v>
      </c>
      <c r="AO317" s="64">
        <v>1662546.394176</v>
      </c>
      <c r="AP317" s="61">
        <f>+N317-'Приложение №2'!E317</f>
        <v>0</v>
      </c>
      <c r="AQ317" s="1">
        <f>2505054.36-114158.29-322925.86</f>
        <v>2067970.21</v>
      </c>
      <c r="AR317" s="3">
        <f>+(K317*10+L317*20)*12*0.85</f>
        <v>532654.19999999995</v>
      </c>
      <c r="AS317" s="3">
        <f>+(K317*10+L317*20)*12*30</f>
        <v>18799560</v>
      </c>
      <c r="AT317" s="6">
        <f t="shared" si="91"/>
        <v>-14521661.32234</v>
      </c>
      <c r="AU317" s="6" t="e">
        <v>#REF!</v>
      </c>
      <c r="AV317" s="6" t="e">
        <v>#REF!</v>
      </c>
      <c r="AW317" s="62">
        <f t="shared" si="92"/>
        <v>29643609.067062002</v>
      </c>
      <c r="AX317" s="55"/>
      <c r="AY317" s="55">
        <v>5132408.83</v>
      </c>
      <c r="AZ317" s="55">
        <v>3542032.19</v>
      </c>
      <c r="BA317" s="55">
        <v>4284881.5390919996</v>
      </c>
      <c r="BB317" s="55"/>
      <c r="BC317" s="55"/>
      <c r="BD317" s="55"/>
      <c r="BE317" s="55">
        <v>0</v>
      </c>
      <c r="BF317" s="55">
        <v>15751030.220310001</v>
      </c>
      <c r="BG317" s="55">
        <v>0</v>
      </c>
      <c r="BH317" s="55"/>
      <c r="BI317" s="55"/>
      <c r="BJ317" s="55"/>
      <c r="BK317" s="63"/>
      <c r="BL317" s="111">
        <v>933256.28766000003</v>
      </c>
      <c r="BM317" s="62">
        <f t="shared" si="94"/>
        <v>24607259.986752</v>
      </c>
      <c r="BN317" s="55"/>
      <c r="BO317" s="55">
        <v>5132408.83</v>
      </c>
      <c r="BP317" s="55">
        <v>3542032.19</v>
      </c>
      <c r="BQ317" s="55">
        <v>4284881.5390919996</v>
      </c>
      <c r="BR317" s="55"/>
      <c r="BS317" s="55"/>
      <c r="BT317" s="55"/>
      <c r="BU317" s="55">
        <v>0</v>
      </c>
      <c r="BV317" s="118">
        <v>10714681.140000001</v>
      </c>
      <c r="BW317" s="55">
        <v>0</v>
      </c>
      <c r="BX317" s="55"/>
      <c r="BY317" s="55"/>
      <c r="BZ317" s="55"/>
      <c r="CA317" s="63"/>
      <c r="CB317" s="64">
        <v>933256.28766000003</v>
      </c>
      <c r="CD317" s="6"/>
    </row>
    <row r="318" spans="1:84" x14ac:dyDescent="0.25">
      <c r="A318" s="105">
        <f t="shared" si="95"/>
        <v>299</v>
      </c>
      <c r="B318" s="106">
        <f t="shared" si="96"/>
        <v>111</v>
      </c>
      <c r="C318" s="107" t="s">
        <v>108</v>
      </c>
      <c r="D318" s="107" t="s">
        <v>385</v>
      </c>
      <c r="E318" s="54">
        <v>1984</v>
      </c>
      <c r="F318" s="54">
        <v>2013</v>
      </c>
      <c r="G318" s="54" t="s">
        <v>64</v>
      </c>
      <c r="H318" s="54">
        <v>5</v>
      </c>
      <c r="I318" s="54">
        <v>6</v>
      </c>
      <c r="J318" s="55">
        <v>7065.3</v>
      </c>
      <c r="K318" s="55">
        <v>6214.8</v>
      </c>
      <c r="L318" s="55">
        <v>0</v>
      </c>
      <c r="M318" s="56">
        <v>231</v>
      </c>
      <c r="N318" s="108">
        <f t="shared" si="93"/>
        <v>43340405.367441803</v>
      </c>
      <c r="O318" s="63"/>
      <c r="P318" s="63">
        <v>10971366.01</v>
      </c>
      <c r="Q318" s="63"/>
      <c r="R318" s="63">
        <v>4107609.7</v>
      </c>
      <c r="S318" s="63">
        <v>28261429.657441799</v>
      </c>
      <c r="T318" s="63"/>
      <c r="U318" s="63">
        <v>8369.8040906568604</v>
      </c>
      <c r="V318" s="63">
        <v>1340.2830200640001</v>
      </c>
      <c r="W318" s="109">
        <v>2023</v>
      </c>
      <c r="X318" s="6" t="e">
        <v>#REF!</v>
      </c>
      <c r="Z318" s="62">
        <f t="shared" si="97"/>
        <v>77406979.776293322</v>
      </c>
      <c r="AA318" s="55">
        <v>10370296.479493899</v>
      </c>
      <c r="AB318" s="55">
        <v>5997425.9547111001</v>
      </c>
      <c r="AC318" s="55">
        <v>6339723.2965151398</v>
      </c>
      <c r="AD318" s="55">
        <v>4834092.9101480404</v>
      </c>
      <c r="AE318" s="55">
        <v>1931121.1633392</v>
      </c>
      <c r="AF318" s="55"/>
      <c r="AG318" s="55">
        <v>515297.30068739998</v>
      </c>
      <c r="AH318" s="55">
        <v>0</v>
      </c>
      <c r="AI318" s="55">
        <v>18460706.644926</v>
      </c>
      <c r="AJ318" s="55">
        <v>0</v>
      </c>
      <c r="AK318" s="55"/>
      <c r="AL318" s="55">
        <v>14096028.4779699</v>
      </c>
      <c r="AM318" s="55">
        <v>11578293.868000001</v>
      </c>
      <c r="AN318" s="63">
        <v>1132485.4643999999</v>
      </c>
      <c r="AO318" s="64">
        <v>2151508.2161026401</v>
      </c>
      <c r="AP318" s="61">
        <f>+N318-'Приложение №2'!E318</f>
        <v>0</v>
      </c>
      <c r="AQ318" s="65">
        <v>3442004.62</v>
      </c>
      <c r="AR318" s="3">
        <f>+(K318*10.5+L318*21)*12*0.85</f>
        <v>665605.08000000007</v>
      </c>
      <c r="AS318" s="3">
        <f>+(K318*10.5+L318*21)*12*30</f>
        <v>23491944</v>
      </c>
      <c r="AT318" s="6">
        <f t="shared" si="91"/>
        <v>4769485.6574417986</v>
      </c>
      <c r="AU318" s="6" t="e">
        <v>#REF!</v>
      </c>
      <c r="AV318" s="6" t="e">
        <v>#REF!</v>
      </c>
      <c r="AW318" s="110">
        <f t="shared" si="92"/>
        <v>64125760.002251379</v>
      </c>
      <c r="AX318" s="55">
        <v>11363498.130000001</v>
      </c>
      <c r="AY318" s="55">
        <v>5997425.9547111001</v>
      </c>
      <c r="AZ318" s="55">
        <v>6339723.2965151398</v>
      </c>
      <c r="BA318" s="55">
        <v>5243801.6900000004</v>
      </c>
      <c r="BB318" s="55"/>
      <c r="BC318" s="55"/>
      <c r="BD318" s="55">
        <v>515297.30068739998</v>
      </c>
      <c r="BE318" s="55">
        <v>0</v>
      </c>
      <c r="BF318" s="55">
        <v>18460706.644926</v>
      </c>
      <c r="BG318" s="55">
        <v>0</v>
      </c>
      <c r="BH318" s="55"/>
      <c r="BI318" s="55">
        <v>14096028.4779699</v>
      </c>
      <c r="BJ318" s="55"/>
      <c r="BK318" s="63"/>
      <c r="BL318" s="111">
        <v>2109278.5074418401</v>
      </c>
      <c r="BM318" s="110">
        <f t="shared" si="94"/>
        <v>43855702.668129236</v>
      </c>
      <c r="BN318" s="55">
        <v>10074980.949999999</v>
      </c>
      <c r="BO318" s="55">
        <v>4483956.54</v>
      </c>
      <c r="BP318" s="55">
        <v>3411282.04</v>
      </c>
      <c r="BQ318" s="55">
        <v>5243801.6900000004</v>
      </c>
      <c r="BR318" s="55"/>
      <c r="BS318" s="55"/>
      <c r="BT318" s="55">
        <v>515297.30068739998</v>
      </c>
      <c r="BU318" s="55">
        <v>0</v>
      </c>
      <c r="BV318" s="55">
        <v>9153591.6999999993</v>
      </c>
      <c r="BW318" s="55">
        <v>0</v>
      </c>
      <c r="BX318" s="55"/>
      <c r="BY318" s="55">
        <v>8863513.9399999995</v>
      </c>
      <c r="BZ318" s="55"/>
      <c r="CA318" s="63"/>
      <c r="CB318" s="64">
        <v>2109278.5074418401</v>
      </c>
      <c r="CD318" s="6"/>
    </row>
    <row r="319" spans="1:84" x14ac:dyDescent="0.25">
      <c r="A319" s="105">
        <f t="shared" si="95"/>
        <v>300</v>
      </c>
      <c r="B319" s="106">
        <f t="shared" si="96"/>
        <v>112</v>
      </c>
      <c r="C319" s="53" t="s">
        <v>108</v>
      </c>
      <c r="D319" s="53" t="s">
        <v>191</v>
      </c>
      <c r="E319" s="54">
        <v>1977</v>
      </c>
      <c r="F319" s="54">
        <v>2013</v>
      </c>
      <c r="G319" s="54" t="s">
        <v>64</v>
      </c>
      <c r="H319" s="54">
        <v>9</v>
      </c>
      <c r="I319" s="54">
        <v>1</v>
      </c>
      <c r="J319" s="55">
        <v>2365.9899999999998</v>
      </c>
      <c r="K319" s="55">
        <v>1903.5</v>
      </c>
      <c r="L319" s="55">
        <v>136</v>
      </c>
      <c r="M319" s="56">
        <v>70</v>
      </c>
      <c r="N319" s="112">
        <f t="shared" si="93"/>
        <v>2900243.0793955801</v>
      </c>
      <c r="O319" s="55"/>
      <c r="P319" s="63">
        <v>1617078.18</v>
      </c>
      <c r="Q319" s="63"/>
      <c r="R319" s="63"/>
      <c r="S319" s="63">
        <v>1283164.8993955799</v>
      </c>
      <c r="T319" s="55"/>
      <c r="U319" s="63">
        <v>2456.01274302308</v>
      </c>
      <c r="V319" s="63">
        <v>2456.01274302308</v>
      </c>
      <c r="W319" s="109">
        <v>2023</v>
      </c>
      <c r="X319" s="6" t="e">
        <v>#REF!</v>
      </c>
      <c r="Z319" s="62">
        <f t="shared" si="97"/>
        <v>26854433.359999958</v>
      </c>
      <c r="AA319" s="55">
        <v>3681294.5645548799</v>
      </c>
      <c r="AB319" s="55">
        <v>2450899.70770344</v>
      </c>
      <c r="AC319" s="55">
        <v>0</v>
      </c>
      <c r="AD319" s="55">
        <v>1346040.4200070801</v>
      </c>
      <c r="AE319" s="55">
        <v>491527.90003841999</v>
      </c>
      <c r="AF319" s="55"/>
      <c r="AG319" s="55">
        <v>205504.30800059999</v>
      </c>
      <c r="AH319" s="55">
        <v>0</v>
      </c>
      <c r="AI319" s="55">
        <v>0</v>
      </c>
      <c r="AJ319" s="55">
        <v>0</v>
      </c>
      <c r="AK319" s="55">
        <v>15124062.916324699</v>
      </c>
      <c r="AL319" s="55">
        <v>0</v>
      </c>
      <c r="AM319" s="55">
        <v>2777050.0558000002</v>
      </c>
      <c r="AN319" s="63">
        <v>268544.33360000001</v>
      </c>
      <c r="AO319" s="64">
        <v>509509.15397083998</v>
      </c>
      <c r="AP319" s="61">
        <f>+N319-'Приложение №2'!E319</f>
        <v>0</v>
      </c>
      <c r="AQ319" s="3">
        <f>1333569.91-680973.2372-75663.69-R128</f>
        <v>398156.45340441988</v>
      </c>
      <c r="AR319" s="3">
        <f>+(K319*13.29+L319*22.52)*12*0.85</f>
        <v>289274.397</v>
      </c>
      <c r="AS319" s="3">
        <f>+(K319*13.29+L319*22.52)*12*30-6485.14-39928.49-S128</f>
        <v>9663087.5599999987</v>
      </c>
      <c r="AT319" s="6">
        <f t="shared" si="91"/>
        <v>-8379922.6606044192</v>
      </c>
      <c r="AW319" s="62">
        <f t="shared" si="92"/>
        <v>5463977.5993955806</v>
      </c>
      <c r="AX319" s="55">
        <v>3176406.16</v>
      </c>
      <c r="AY319" s="55">
        <v>1063489.17</v>
      </c>
      <c r="AZ319" s="55">
        <v>0</v>
      </c>
      <c r="BA319" s="55">
        <v>1045305.74</v>
      </c>
      <c r="BB319" s="55"/>
      <c r="BC319" s="55"/>
      <c r="BD319" s="55"/>
      <c r="BE319" s="55">
        <v>0</v>
      </c>
      <c r="BF319" s="55">
        <v>0</v>
      </c>
      <c r="BG319" s="55">
        <v>0</v>
      </c>
      <c r="BH319" s="55"/>
      <c r="BI319" s="55">
        <v>0</v>
      </c>
      <c r="BJ319" s="55"/>
      <c r="BK319" s="63"/>
      <c r="BL319" s="111">
        <v>178776.52939558</v>
      </c>
      <c r="BM319" s="62">
        <f t="shared" si="94"/>
        <v>5009037.9893955803</v>
      </c>
      <c r="BN319" s="55">
        <v>2721466.55</v>
      </c>
      <c r="BO319" s="55">
        <v>1063489.17</v>
      </c>
      <c r="BP319" s="55">
        <v>0</v>
      </c>
      <c r="BQ319" s="55">
        <v>1045305.74</v>
      </c>
      <c r="BR319" s="55"/>
      <c r="BS319" s="55"/>
      <c r="BT319" s="55"/>
      <c r="BU319" s="55">
        <v>0</v>
      </c>
      <c r="BV319" s="55">
        <v>0</v>
      </c>
      <c r="BW319" s="55">
        <v>0</v>
      </c>
      <c r="BX319" s="55"/>
      <c r="BY319" s="55">
        <v>0</v>
      </c>
      <c r="BZ319" s="55"/>
      <c r="CA319" s="63"/>
      <c r="CB319" s="64">
        <v>178776.52939558</v>
      </c>
      <c r="CD319" s="3"/>
    </row>
    <row r="320" spans="1:84" x14ac:dyDescent="0.25">
      <c r="A320" s="105">
        <f t="shared" si="95"/>
        <v>301</v>
      </c>
      <c r="B320" s="106">
        <f t="shared" si="96"/>
        <v>113</v>
      </c>
      <c r="C320" s="107" t="s">
        <v>108</v>
      </c>
      <c r="D320" s="107" t="s">
        <v>386</v>
      </c>
      <c r="E320" s="54">
        <v>1977</v>
      </c>
      <c r="F320" s="54">
        <v>2013</v>
      </c>
      <c r="G320" s="54" t="s">
        <v>64</v>
      </c>
      <c r="H320" s="54">
        <v>9</v>
      </c>
      <c r="I320" s="54">
        <v>1</v>
      </c>
      <c r="J320" s="55">
        <v>2366.89</v>
      </c>
      <c r="K320" s="55">
        <v>1904.8</v>
      </c>
      <c r="L320" s="55">
        <v>41.8</v>
      </c>
      <c r="M320" s="56">
        <v>59</v>
      </c>
      <c r="N320" s="108">
        <f t="shared" si="93"/>
        <v>896822.83243978</v>
      </c>
      <c r="O320" s="63"/>
      <c r="P320" s="63">
        <v>293106.81</v>
      </c>
      <c r="Q320" s="63"/>
      <c r="R320" s="63"/>
      <c r="S320" s="63">
        <v>603716.02243977995</v>
      </c>
      <c r="T320" s="63"/>
      <c r="U320" s="63">
        <v>3589.8107892940402</v>
      </c>
      <c r="V320" s="63">
        <v>3589.8107892940402</v>
      </c>
      <c r="W320" s="109">
        <v>2023</v>
      </c>
      <c r="X320" s="6" t="e">
        <v>#REF!</v>
      </c>
      <c r="Z320" s="62">
        <f t="shared" si="97"/>
        <v>28541976.04124596</v>
      </c>
      <c r="AA320" s="55">
        <v>3719699.05</v>
      </c>
      <c r="AB320" s="55">
        <v>2452058.27684286</v>
      </c>
      <c r="AC320" s="55">
        <v>1492645.9296378</v>
      </c>
      <c r="AD320" s="55">
        <v>1346676.7170788399</v>
      </c>
      <c r="AE320" s="55">
        <v>491760.24805782002</v>
      </c>
      <c r="AF320" s="55"/>
      <c r="AG320" s="55">
        <v>205601.44794672</v>
      </c>
      <c r="AH320" s="55">
        <v>0</v>
      </c>
      <c r="AI320" s="55">
        <v>0</v>
      </c>
      <c r="AJ320" s="55">
        <v>0</v>
      </c>
      <c r="AK320" s="55">
        <v>15131212.272876799</v>
      </c>
      <c r="AL320" s="55">
        <v>0</v>
      </c>
      <c r="AM320" s="55">
        <v>2959194.6140999999</v>
      </c>
      <c r="AN320" s="63">
        <v>245562.47510000001</v>
      </c>
      <c r="AO320" s="64">
        <v>497565.00960511999</v>
      </c>
      <c r="AP320" s="61">
        <f>+N320-'Приложение №2'!E320</f>
        <v>0</v>
      </c>
      <c r="AQ320" s="1">
        <f>1227927.06-726007.6004</f>
        <v>501919.45960000006</v>
      </c>
      <c r="AR320" s="3">
        <f>+(K320*13.29+L320*22.52)*12*0.85</f>
        <v>267812.50559999997</v>
      </c>
      <c r="AS320" s="3">
        <f>+(K320*13.29+L320*22.52)*12*30-9115.31</f>
        <v>9443090.7699999977</v>
      </c>
      <c r="AT320" s="6">
        <f t="shared" si="91"/>
        <v>-8839374.747560218</v>
      </c>
      <c r="AW320" s="62">
        <f t="shared" si="92"/>
        <v>6987925.6824397799</v>
      </c>
      <c r="AX320" s="55">
        <v>3719699.05</v>
      </c>
      <c r="AY320" s="55">
        <v>1063489.17</v>
      </c>
      <c r="AZ320" s="55">
        <v>740900.59</v>
      </c>
      <c r="BA320" s="55">
        <v>1307914.6299999999</v>
      </c>
      <c r="BB320" s="55"/>
      <c r="BC320" s="55"/>
      <c r="BD320" s="55"/>
      <c r="BE320" s="55">
        <v>0</v>
      </c>
      <c r="BF320" s="55">
        <v>0</v>
      </c>
      <c r="BG320" s="55">
        <v>0</v>
      </c>
      <c r="BH320" s="55"/>
      <c r="BI320" s="55">
        <v>0</v>
      </c>
      <c r="BJ320" s="55"/>
      <c r="BK320" s="63"/>
      <c r="BL320" s="111">
        <v>155922.24243978001</v>
      </c>
      <c r="BM320" s="62">
        <f t="shared" si="94"/>
        <v>6987925.6824397799</v>
      </c>
      <c r="BN320" s="55">
        <v>3719699.05</v>
      </c>
      <c r="BO320" s="55">
        <v>1063489.17</v>
      </c>
      <c r="BP320" s="55">
        <v>740900.59</v>
      </c>
      <c r="BQ320" s="55">
        <v>1307914.6299999999</v>
      </c>
      <c r="BR320" s="55"/>
      <c r="BS320" s="55"/>
      <c r="BT320" s="55"/>
      <c r="BU320" s="55">
        <v>0</v>
      </c>
      <c r="BV320" s="55">
        <v>0</v>
      </c>
      <c r="BW320" s="55">
        <v>0</v>
      </c>
      <c r="BX320" s="55"/>
      <c r="BY320" s="55">
        <v>0</v>
      </c>
      <c r="BZ320" s="55"/>
      <c r="CA320" s="63"/>
      <c r="CB320" s="64">
        <v>155922.24243978001</v>
      </c>
      <c r="CD320" s="6"/>
    </row>
    <row r="321" spans="1:83" x14ac:dyDescent="0.25">
      <c r="A321" s="105">
        <f t="shared" si="95"/>
        <v>302</v>
      </c>
      <c r="B321" s="106">
        <f t="shared" si="96"/>
        <v>114</v>
      </c>
      <c r="C321" s="107" t="s">
        <v>108</v>
      </c>
      <c r="D321" s="107" t="s">
        <v>387</v>
      </c>
      <c r="E321" s="54">
        <v>1994</v>
      </c>
      <c r="F321" s="54">
        <v>2005</v>
      </c>
      <c r="G321" s="54" t="s">
        <v>64</v>
      </c>
      <c r="H321" s="54">
        <v>5</v>
      </c>
      <c r="I321" s="54">
        <v>2</v>
      </c>
      <c r="J321" s="55">
        <v>2052</v>
      </c>
      <c r="K321" s="55">
        <v>1876.9</v>
      </c>
      <c r="L321" s="55">
        <v>0</v>
      </c>
      <c r="M321" s="56">
        <v>80</v>
      </c>
      <c r="N321" s="108">
        <f t="shared" si="93"/>
        <v>10173814.098441519</v>
      </c>
      <c r="O321" s="63"/>
      <c r="P321" s="63">
        <v>5762795.10290151</v>
      </c>
      <c r="Q321" s="63"/>
      <c r="R321" s="63">
        <v>335067.79499999998</v>
      </c>
      <c r="S321" s="63">
        <v>4075951.2005400099</v>
      </c>
      <c r="T321" s="63"/>
      <c r="U321" s="63">
        <v>14282.406253241399</v>
      </c>
      <c r="V321" s="63">
        <v>1336.2830200640001</v>
      </c>
      <c r="W321" s="109">
        <v>2023</v>
      </c>
      <c r="X321" s="6" t="e">
        <v>#REF!</v>
      </c>
      <c r="Z321" s="62">
        <f t="shared" si="97"/>
        <v>30419518.07</v>
      </c>
      <c r="AA321" s="55">
        <v>4454647.72709502</v>
      </c>
      <c r="AB321" s="55">
        <v>1587374.11791714</v>
      </c>
      <c r="AC321" s="55">
        <v>1658452.76095254</v>
      </c>
      <c r="AD321" s="55">
        <v>1038296.28299628</v>
      </c>
      <c r="AE321" s="55">
        <v>635267.56802165997</v>
      </c>
      <c r="AF321" s="55"/>
      <c r="AG321" s="55">
        <v>170937.02604636</v>
      </c>
      <c r="AH321" s="55">
        <v>0</v>
      </c>
      <c r="AI321" s="55">
        <v>8143773.8420051998</v>
      </c>
      <c r="AJ321" s="55">
        <v>0</v>
      </c>
      <c r="AK321" s="55">
        <v>4228285.0782631198</v>
      </c>
      <c r="AL321" s="55">
        <v>4560700.3930828199</v>
      </c>
      <c r="AM321" s="55">
        <v>3058573.6593999998</v>
      </c>
      <c r="AN321" s="63">
        <v>304195.18070000003</v>
      </c>
      <c r="AO321" s="64">
        <v>579014.43351986003</v>
      </c>
      <c r="AP321" s="61">
        <f>+N321-'Приложение №2'!E321</f>
        <v>0</v>
      </c>
      <c r="AQ321" s="1">
        <v>1111921.7</v>
      </c>
      <c r="AR321" s="3">
        <f>+(K321*10.5+L321*21)*12*0.85</f>
        <v>201015.99000000002</v>
      </c>
      <c r="AS321" s="3">
        <f>+(K321*10.5+L321*21)*12*30</f>
        <v>7094682.0000000009</v>
      </c>
      <c r="AT321" s="6">
        <f t="shared" si="91"/>
        <v>-3018730.799459991</v>
      </c>
      <c r="AU321" s="6" t="e">
        <v>#REF!</v>
      </c>
      <c r="AV321" s="6" t="e">
        <v>#REF!</v>
      </c>
      <c r="AW321" s="110">
        <f t="shared" si="92"/>
        <v>26806648.296708696</v>
      </c>
      <c r="AX321" s="55">
        <v>4762837.5999999996</v>
      </c>
      <c r="AY321" s="55">
        <v>1587374.11791714</v>
      </c>
      <c r="AZ321" s="55">
        <v>1658452.76095254</v>
      </c>
      <c r="BA321" s="55">
        <v>1129165.06</v>
      </c>
      <c r="BB321" s="55"/>
      <c r="BC321" s="55"/>
      <c r="BD321" s="55">
        <v>170937.02604636</v>
      </c>
      <c r="BE321" s="55">
        <v>0</v>
      </c>
      <c r="BF321" s="55">
        <v>8143773.8420051998</v>
      </c>
      <c r="BG321" s="55">
        <v>0</v>
      </c>
      <c r="BH321" s="55">
        <v>4228285.0782631198</v>
      </c>
      <c r="BI321" s="55">
        <v>4560700.3930828199</v>
      </c>
      <c r="BJ321" s="55"/>
      <c r="BK321" s="63"/>
      <c r="BL321" s="111">
        <v>565122.41844151996</v>
      </c>
      <c r="BM321" s="110">
        <f t="shared" si="94"/>
        <v>26806648.296708696</v>
      </c>
      <c r="BN321" s="55">
        <v>4762837.5999999996</v>
      </c>
      <c r="BO321" s="55">
        <v>1587374.11791714</v>
      </c>
      <c r="BP321" s="55">
        <v>1658452.76095254</v>
      </c>
      <c r="BQ321" s="55">
        <v>1129165.06</v>
      </c>
      <c r="BR321" s="55"/>
      <c r="BS321" s="55"/>
      <c r="BT321" s="55">
        <v>170937.02604636</v>
      </c>
      <c r="BU321" s="55">
        <v>0</v>
      </c>
      <c r="BV321" s="55">
        <v>8143773.8420051998</v>
      </c>
      <c r="BW321" s="55">
        <v>0</v>
      </c>
      <c r="BX321" s="55">
        <v>4228285.0782631198</v>
      </c>
      <c r="BY321" s="55">
        <v>4560700.3930828199</v>
      </c>
      <c r="BZ321" s="55"/>
      <c r="CA321" s="63"/>
      <c r="CB321" s="64">
        <v>565122.41844151996</v>
      </c>
    </row>
    <row r="322" spans="1:83" x14ac:dyDescent="0.25">
      <c r="A322" s="105">
        <f t="shared" si="95"/>
        <v>303</v>
      </c>
      <c r="B322" s="106">
        <f t="shared" si="96"/>
        <v>115</v>
      </c>
      <c r="C322" s="53" t="s">
        <v>108</v>
      </c>
      <c r="D322" s="53" t="s">
        <v>388</v>
      </c>
      <c r="E322" s="54">
        <v>1978</v>
      </c>
      <c r="F322" s="54">
        <v>2013</v>
      </c>
      <c r="G322" s="54" t="s">
        <v>64</v>
      </c>
      <c r="H322" s="54">
        <v>4</v>
      </c>
      <c r="I322" s="54">
        <v>4</v>
      </c>
      <c r="J322" s="55">
        <v>3933.3</v>
      </c>
      <c r="K322" s="55">
        <v>3440.6</v>
      </c>
      <c r="L322" s="55">
        <v>0</v>
      </c>
      <c r="M322" s="56">
        <v>158</v>
      </c>
      <c r="N322" s="112">
        <f t="shared" si="93"/>
        <v>10133628.840523401</v>
      </c>
      <c r="O322" s="55"/>
      <c r="P322" s="63"/>
      <c r="Q322" s="63"/>
      <c r="R322" s="63">
        <v>1030658.64</v>
      </c>
      <c r="S322" s="63">
        <v>9102970.2005234007</v>
      </c>
      <c r="T322" s="63">
        <v>0</v>
      </c>
      <c r="U322" s="63">
        <v>1627.6608760220299</v>
      </c>
      <c r="V322" s="63">
        <v>1338.2830200640001</v>
      </c>
      <c r="W322" s="109">
        <v>2023</v>
      </c>
      <c r="X322" s="6" t="e">
        <v>#REF!</v>
      </c>
      <c r="Z322" s="62">
        <f t="shared" si="97"/>
        <v>19368823.829999998</v>
      </c>
      <c r="AA322" s="55">
        <v>5746844.1079849796</v>
      </c>
      <c r="AB322" s="55">
        <v>3323557.0585698602</v>
      </c>
      <c r="AC322" s="55">
        <v>3513245.8927511401</v>
      </c>
      <c r="AD322" s="55">
        <v>2678879.85971676</v>
      </c>
      <c r="AE322" s="55">
        <v>1070157.66392556</v>
      </c>
      <c r="AF322" s="55"/>
      <c r="AG322" s="55">
        <v>285559.1703006</v>
      </c>
      <c r="AH322" s="55">
        <v>0</v>
      </c>
      <c r="AI322" s="55">
        <v>0</v>
      </c>
      <c r="AJ322" s="55">
        <v>0</v>
      </c>
      <c r="AK322" s="55">
        <v>0</v>
      </c>
      <c r="AL322" s="55">
        <v>0</v>
      </c>
      <c r="AM322" s="55">
        <v>2193484.5052</v>
      </c>
      <c r="AN322" s="63">
        <v>193688.2383</v>
      </c>
      <c r="AO322" s="64">
        <v>363407.33325109998</v>
      </c>
      <c r="AP322" s="61">
        <f>+N322-'Приложение №2'!E322</f>
        <v>0</v>
      </c>
      <c r="AQ322" s="1">
        <f>2137015.38-102526.12</f>
        <v>2034489.2599999998</v>
      </c>
      <c r="AR322" s="3">
        <f>+(K322*10.5+L322*21)*12*0.85</f>
        <v>368488.25999999995</v>
      </c>
      <c r="AS322" s="3">
        <f>+(K322*10.5+L322*21)*12*30</f>
        <v>13005468</v>
      </c>
      <c r="AT322" s="6">
        <f t="shared" si="91"/>
        <v>-3902497.7994765993</v>
      </c>
      <c r="AU322" s="6" t="e">
        <v>#REF!</v>
      </c>
      <c r="AV322" s="6" t="e">
        <v>#REF!</v>
      </c>
      <c r="AW322" s="110">
        <f t="shared" si="92"/>
        <v>7403620.8462693999</v>
      </c>
      <c r="AX322" s="55"/>
      <c r="AY322" s="55"/>
      <c r="AZ322" s="55">
        <v>3922818.876228</v>
      </c>
      <c r="BA322" s="55">
        <v>3084097.6605179999</v>
      </c>
      <c r="BB322" s="55"/>
      <c r="BC322" s="55"/>
      <c r="BD322" s="55"/>
      <c r="BE322" s="55">
        <v>0</v>
      </c>
      <c r="BF322" s="55">
        <v>0</v>
      </c>
      <c r="BG322" s="55">
        <v>0</v>
      </c>
      <c r="BH322" s="55">
        <v>0</v>
      </c>
      <c r="BI322" s="55">
        <v>0</v>
      </c>
      <c r="BJ322" s="55">
        <v>78950.879499999995</v>
      </c>
      <c r="BK322" s="63">
        <v>20977.589499999998</v>
      </c>
      <c r="BL322" s="111">
        <v>296775.84052339999</v>
      </c>
      <c r="BM322" s="110">
        <f t="shared" si="94"/>
        <v>11101825.413253998</v>
      </c>
      <c r="BN322" s="55">
        <v>6278778.3834300004</v>
      </c>
      <c r="BO322" s="55"/>
      <c r="BP322" s="55">
        <v>2119328.04</v>
      </c>
      <c r="BQ322" s="55">
        <v>2021455.51</v>
      </c>
      <c r="BR322" s="55"/>
      <c r="BS322" s="55"/>
      <c r="BT322" s="55">
        <v>285559.1703006</v>
      </c>
      <c r="BU322" s="55">
        <v>0</v>
      </c>
      <c r="BV322" s="55">
        <v>0</v>
      </c>
      <c r="BW322" s="55">
        <v>0</v>
      </c>
      <c r="BX322" s="55">
        <v>0</v>
      </c>
      <c r="BY322" s="55">
        <v>0</v>
      </c>
      <c r="BZ322" s="55">
        <v>78950.879499999995</v>
      </c>
      <c r="CA322" s="63">
        <v>20977.589499999998</v>
      </c>
      <c r="CB322" s="64">
        <v>296775.84052339999</v>
      </c>
    </row>
    <row r="323" spans="1:83" x14ac:dyDescent="0.25">
      <c r="A323" s="137">
        <f t="shared" si="95"/>
        <v>304</v>
      </c>
      <c r="B323" s="137">
        <f t="shared" si="96"/>
        <v>116</v>
      </c>
      <c r="C323" s="138" t="s">
        <v>389</v>
      </c>
      <c r="D323" s="138" t="s">
        <v>390</v>
      </c>
      <c r="E323" s="139" t="s">
        <v>360</v>
      </c>
      <c r="F323" s="139"/>
      <c r="G323" s="139" t="s">
        <v>64</v>
      </c>
      <c r="H323" s="140" t="s">
        <v>102</v>
      </c>
      <c r="I323" s="140" t="s">
        <v>102</v>
      </c>
      <c r="J323" s="141">
        <v>799.54</v>
      </c>
      <c r="K323" s="141">
        <v>733.52</v>
      </c>
      <c r="L323" s="141">
        <v>0</v>
      </c>
      <c r="M323" s="141">
        <v>29</v>
      </c>
      <c r="N323" s="108">
        <f t="shared" si="93"/>
        <v>4503820.0088245105</v>
      </c>
      <c r="O323" s="142"/>
      <c r="P323" s="143">
        <v>1006518.21</v>
      </c>
      <c r="Q323" s="63">
        <v>507855.56</v>
      </c>
      <c r="R323" s="63">
        <v>461470.00199999998</v>
      </c>
      <c r="S323" s="63">
        <v>2527976.2368245102</v>
      </c>
      <c r="T323" s="63"/>
      <c r="U323" s="63">
        <v>8420.69037638175</v>
      </c>
      <c r="V323" s="63">
        <v>8420.69037638175</v>
      </c>
      <c r="W323" s="109">
        <v>2023</v>
      </c>
      <c r="X323" s="6"/>
      <c r="Z323" s="62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5"/>
      <c r="AN323" s="63"/>
      <c r="AO323" s="64"/>
      <c r="AP323" s="61"/>
      <c r="AQ323" s="1">
        <v>382910.01</v>
      </c>
      <c r="AR323" s="3">
        <v>78559.991999999998</v>
      </c>
      <c r="AS323" s="3">
        <v>2772705.6</v>
      </c>
      <c r="AT323" s="6">
        <f t="shared" si="91"/>
        <v>-244729.36317548994</v>
      </c>
      <c r="AW323" s="62">
        <f>SUM(AX323:BL323)</f>
        <v>6176744.8048835481</v>
      </c>
      <c r="BH323" s="55">
        <v>6036733.6660590405</v>
      </c>
      <c r="BJ323" s="55"/>
      <c r="BK323" s="63">
        <v>8000</v>
      </c>
      <c r="BL323" s="111">
        <v>132011.138824508</v>
      </c>
      <c r="BM323" s="62">
        <f>SUM(BN323:CB323)</f>
        <v>6176744.8048835481</v>
      </c>
      <c r="BN323" s="53"/>
      <c r="BO323" s="53"/>
      <c r="BP323" s="53"/>
      <c r="BQ323" s="53"/>
      <c r="BR323" s="53"/>
      <c r="BS323" s="53"/>
      <c r="BT323" s="53"/>
      <c r="BU323" s="53"/>
      <c r="BV323" s="53"/>
      <c r="BW323" s="53"/>
      <c r="BX323" s="55">
        <v>6036733.6660590405</v>
      </c>
      <c r="BY323" s="53"/>
      <c r="BZ323" s="55"/>
      <c r="CA323" s="63">
        <v>8000</v>
      </c>
      <c r="CB323" s="64">
        <v>132011.138824508</v>
      </c>
      <c r="CD323" s="3"/>
    </row>
    <row r="324" spans="1:83" x14ac:dyDescent="0.25">
      <c r="A324" s="137">
        <f t="shared" si="95"/>
        <v>305</v>
      </c>
      <c r="B324" s="137">
        <f t="shared" si="96"/>
        <v>117</v>
      </c>
      <c r="C324" s="138" t="s">
        <v>389</v>
      </c>
      <c r="D324" s="138" t="s">
        <v>391</v>
      </c>
      <c r="E324" s="139" t="s">
        <v>360</v>
      </c>
      <c r="F324" s="139"/>
      <c r="G324" s="139" t="s">
        <v>64</v>
      </c>
      <c r="H324" s="140" t="s">
        <v>102</v>
      </c>
      <c r="I324" s="140" t="s">
        <v>102</v>
      </c>
      <c r="J324" s="141">
        <v>715.4</v>
      </c>
      <c r="K324" s="141">
        <v>684.9</v>
      </c>
      <c r="L324" s="141">
        <v>0</v>
      </c>
      <c r="M324" s="141">
        <v>38</v>
      </c>
      <c r="N324" s="108">
        <f t="shared" si="93"/>
        <v>4992096.71</v>
      </c>
      <c r="O324" s="142"/>
      <c r="P324" s="143">
        <v>1477681.91</v>
      </c>
      <c r="Q324" s="63">
        <v>507855.56</v>
      </c>
      <c r="R324" s="63">
        <v>417637.24</v>
      </c>
      <c r="S324" s="63">
        <v>2588922</v>
      </c>
      <c r="T324" s="63"/>
      <c r="U324" s="63">
        <v>8421.4645989302207</v>
      </c>
      <c r="V324" s="63">
        <v>8421.4645989302207</v>
      </c>
      <c r="W324" s="109">
        <v>2023</v>
      </c>
      <c r="X324" s="6"/>
      <c r="Z324" s="62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  <c r="AL324" s="55"/>
      <c r="AM324" s="55"/>
      <c r="AN324" s="63"/>
      <c r="AO324" s="64"/>
      <c r="AP324" s="61"/>
      <c r="AQ324" s="1">
        <v>344284.45</v>
      </c>
      <c r="AR324" s="3">
        <v>73352.789999999994</v>
      </c>
      <c r="AS324" s="3">
        <v>2588922</v>
      </c>
      <c r="AT324" s="6">
        <f t="shared" si="91"/>
        <v>0</v>
      </c>
      <c r="AW324" s="62">
        <f>SUM(AX324:BL324)</f>
        <v>5767861.1038073059</v>
      </c>
      <c r="BH324" s="55">
        <v>5636600.0761858299</v>
      </c>
      <c r="BJ324" s="55"/>
      <c r="BK324" s="63">
        <v>8000</v>
      </c>
      <c r="BL324" s="111">
        <v>123261.02762147599</v>
      </c>
      <c r="BM324" s="62">
        <f>SUM(BN324:CB324)</f>
        <v>5767861.1038073059</v>
      </c>
      <c r="BN324" s="53"/>
      <c r="BO324" s="53"/>
      <c r="BP324" s="53"/>
      <c r="BQ324" s="53"/>
      <c r="BR324" s="53"/>
      <c r="BS324" s="53"/>
      <c r="BT324" s="53"/>
      <c r="BU324" s="53"/>
      <c r="BV324" s="53"/>
      <c r="BW324" s="53"/>
      <c r="BX324" s="55">
        <v>5636600.0761858299</v>
      </c>
      <c r="BY324" s="53"/>
      <c r="BZ324" s="55"/>
      <c r="CA324" s="63">
        <v>8000</v>
      </c>
      <c r="CB324" s="64">
        <v>123261.02762147599</v>
      </c>
      <c r="CD324" s="6"/>
    </row>
    <row r="325" spans="1:83" x14ac:dyDescent="0.25">
      <c r="A325" s="137">
        <f t="shared" si="95"/>
        <v>306</v>
      </c>
      <c r="B325" s="137">
        <f t="shared" si="96"/>
        <v>118</v>
      </c>
      <c r="C325" s="138" t="s">
        <v>389</v>
      </c>
      <c r="D325" s="138" t="s">
        <v>392</v>
      </c>
      <c r="E325" s="139" t="s">
        <v>393</v>
      </c>
      <c r="F325" s="139"/>
      <c r="G325" s="139" t="s">
        <v>64</v>
      </c>
      <c r="H325" s="140" t="s">
        <v>102</v>
      </c>
      <c r="I325" s="140" t="s">
        <v>102</v>
      </c>
      <c r="J325" s="141">
        <v>670.37</v>
      </c>
      <c r="K325" s="141">
        <v>618.66</v>
      </c>
      <c r="L325" s="141">
        <v>0</v>
      </c>
      <c r="M325" s="141">
        <v>30</v>
      </c>
      <c r="N325" s="108">
        <f t="shared" si="93"/>
        <v>4390497.8059618995</v>
      </c>
      <c r="O325" s="142"/>
      <c r="P325" s="143">
        <v>1139775.23</v>
      </c>
      <c r="Q325" s="63">
        <v>507855.52</v>
      </c>
      <c r="R325" s="63">
        <v>407532.25599999999</v>
      </c>
      <c r="S325" s="63">
        <v>2335334.7999618999</v>
      </c>
      <c r="T325" s="63"/>
      <c r="U325" s="63">
        <v>8422.7152354528098</v>
      </c>
      <c r="V325" s="63">
        <v>8422.7152354528098</v>
      </c>
      <c r="W325" s="109">
        <v>2023</v>
      </c>
      <c r="X325" s="6"/>
      <c r="Z325" s="62"/>
      <c r="AA325" s="55"/>
      <c r="AB325" s="55"/>
      <c r="AC325" s="55"/>
      <c r="AD325" s="55"/>
      <c r="AE325" s="55"/>
      <c r="AF325" s="55"/>
      <c r="AG325" s="55"/>
      <c r="AH325" s="55"/>
      <c r="AI325" s="55"/>
      <c r="AJ325" s="55"/>
      <c r="AK325" s="55"/>
      <c r="AL325" s="55"/>
      <c r="AM325" s="55"/>
      <c r="AN325" s="63"/>
      <c r="AO325" s="64"/>
      <c r="AP325" s="61"/>
      <c r="AQ325" s="1">
        <v>341273.77</v>
      </c>
      <c r="AR325" s="3">
        <v>66258.486000000004</v>
      </c>
      <c r="AS325" s="3">
        <v>2338534.7999999998</v>
      </c>
      <c r="AT325" s="6">
        <f t="shared" si="91"/>
        <v>-3200.0000380999409</v>
      </c>
      <c r="AW325" s="62">
        <f>SUM(AX325:BL325)</f>
        <v>5210797.0075652357</v>
      </c>
      <c r="BH325" s="55">
        <v>5091457.1516033402</v>
      </c>
      <c r="BJ325" s="55"/>
      <c r="BK325" s="63">
        <v>8000</v>
      </c>
      <c r="BL325" s="111">
        <v>111339.855961896</v>
      </c>
      <c r="BM325" s="62">
        <f>SUM(BN325:CB325)</f>
        <v>5210797.0075652357</v>
      </c>
      <c r="BN325" s="53"/>
      <c r="BO325" s="53"/>
      <c r="BP325" s="53"/>
      <c r="BQ325" s="53"/>
      <c r="BR325" s="53"/>
      <c r="BS325" s="53"/>
      <c r="BT325" s="53"/>
      <c r="BU325" s="53"/>
      <c r="BV325" s="53"/>
      <c r="BW325" s="53"/>
      <c r="BX325" s="55">
        <v>5091457.1516033402</v>
      </c>
      <c r="BY325" s="53"/>
      <c r="BZ325" s="55"/>
      <c r="CA325" s="63">
        <v>8000</v>
      </c>
      <c r="CB325" s="64">
        <v>111339.855961896</v>
      </c>
      <c r="CD325" s="6"/>
    </row>
    <row r="326" spans="1:83" x14ac:dyDescent="0.25">
      <c r="A326" s="137">
        <f t="shared" si="95"/>
        <v>307</v>
      </c>
      <c r="B326" s="137">
        <f t="shared" si="96"/>
        <v>119</v>
      </c>
      <c r="C326" s="138" t="s">
        <v>204</v>
      </c>
      <c r="D326" s="138" t="s">
        <v>394</v>
      </c>
      <c r="E326" s="139">
        <v>1975</v>
      </c>
      <c r="F326" s="139">
        <v>1975</v>
      </c>
      <c r="G326" s="139" t="s">
        <v>64</v>
      </c>
      <c r="H326" s="140">
        <v>2</v>
      </c>
      <c r="I326" s="140">
        <v>2</v>
      </c>
      <c r="J326" s="144">
        <v>785.47</v>
      </c>
      <c r="K326" s="144">
        <v>729.06</v>
      </c>
      <c r="L326" s="144">
        <v>0</v>
      </c>
      <c r="M326" s="145">
        <v>32</v>
      </c>
      <c r="N326" s="108">
        <f t="shared" si="93"/>
        <v>3832101.0341660008</v>
      </c>
      <c r="O326" s="143"/>
      <c r="P326" s="143">
        <v>771438.08416600095</v>
      </c>
      <c r="Q326" s="63"/>
      <c r="R326" s="63">
        <v>436046.95</v>
      </c>
      <c r="S326" s="63">
        <v>2624616</v>
      </c>
      <c r="T326" s="63"/>
      <c r="U326" s="63">
        <v>7950.3641949908097</v>
      </c>
      <c r="V326" s="63">
        <v>1356.2830200640001</v>
      </c>
      <c r="W326" s="109">
        <v>2023</v>
      </c>
      <c r="X326" s="6" t="e">
        <v>#REF!</v>
      </c>
      <c r="Z326" s="62">
        <f t="shared" ref="Z326:Z336" si="98">SUM(AA326:AO326)</f>
        <v>5796292.5200000005</v>
      </c>
      <c r="AA326" s="55">
        <v>0</v>
      </c>
      <c r="AB326" s="55">
        <v>0</v>
      </c>
      <c r="AC326" s="55">
        <v>0</v>
      </c>
      <c r="AD326" s="55">
        <v>0</v>
      </c>
      <c r="AE326" s="55">
        <v>0</v>
      </c>
      <c r="AF326" s="55"/>
      <c r="AG326" s="55">
        <v>0</v>
      </c>
      <c r="AH326" s="55">
        <v>0</v>
      </c>
      <c r="AI326" s="55">
        <v>0</v>
      </c>
      <c r="AJ326" s="55">
        <v>0</v>
      </c>
      <c r="AK326" s="55">
        <v>5048304.1554640802</v>
      </c>
      <c r="AL326" s="55">
        <v>0</v>
      </c>
      <c r="AM326" s="55">
        <v>579629.25199999998</v>
      </c>
      <c r="AN326" s="63">
        <v>57962.925199999998</v>
      </c>
      <c r="AO326" s="64">
        <v>110396.18733592</v>
      </c>
      <c r="AP326" s="61">
        <f>+N326-'Приложение №2'!E326</f>
        <v>0</v>
      </c>
      <c r="AQ326" s="65">
        <v>361682.83</v>
      </c>
      <c r="AR326" s="3">
        <f t="shared" ref="AR326:AR334" si="99">+(K326*10+L326*20)*12*0.85</f>
        <v>74364.12</v>
      </c>
      <c r="AS326" s="3">
        <f>+(K326*10+L326*20)*12*30</f>
        <v>2624616</v>
      </c>
      <c r="AT326" s="6">
        <f t="shared" si="91"/>
        <v>0</v>
      </c>
      <c r="AU326" s="6" t="e">
        <v>#REF!</v>
      </c>
      <c r="AV326" s="6" t="e">
        <v>#REF!</v>
      </c>
      <c r="AW326" s="62">
        <f t="shared" ref="AW326:AW357" si="100">SUBTOTAL(9, AX326:BL326)</f>
        <v>5796292.5199999996</v>
      </c>
      <c r="AX326" s="55">
        <v>0</v>
      </c>
      <c r="AY326" s="55">
        <v>0</v>
      </c>
      <c r="AZ326" s="55">
        <v>0</v>
      </c>
      <c r="BA326" s="55">
        <v>0</v>
      </c>
      <c r="BB326" s="55">
        <v>0</v>
      </c>
      <c r="BC326" s="55"/>
      <c r="BD326" s="55"/>
      <c r="BE326" s="55">
        <v>0</v>
      </c>
      <c r="BF326" s="55">
        <v>0</v>
      </c>
      <c r="BG326" s="55">
        <v>0</v>
      </c>
      <c r="BH326" s="55">
        <v>5611851.8558339998</v>
      </c>
      <c r="BI326" s="55">
        <v>0</v>
      </c>
      <c r="BJ326" s="55">
        <v>37720.83</v>
      </c>
      <c r="BK326" s="63">
        <v>24000</v>
      </c>
      <c r="BL326" s="111">
        <v>122719.834166</v>
      </c>
      <c r="BM326" s="62">
        <f t="shared" ref="BM326:BM357" si="101">SUBTOTAL(9, BN326:CB326)</f>
        <v>3832101.0341660003</v>
      </c>
      <c r="BN326" s="55">
        <v>0</v>
      </c>
      <c r="BO326" s="55">
        <v>0</v>
      </c>
      <c r="BP326" s="55">
        <v>0</v>
      </c>
      <c r="BQ326" s="55">
        <v>0</v>
      </c>
      <c r="BR326" s="55">
        <v>0</v>
      </c>
      <c r="BS326" s="55"/>
      <c r="BT326" s="55"/>
      <c r="BU326" s="55">
        <v>0</v>
      </c>
      <c r="BV326" s="55">
        <v>0</v>
      </c>
      <c r="BW326" s="55">
        <v>0</v>
      </c>
      <c r="BX326" s="55">
        <v>3647660.37</v>
      </c>
      <c r="BY326" s="55">
        <v>0</v>
      </c>
      <c r="BZ326" s="55">
        <v>37720.83</v>
      </c>
      <c r="CA326" s="63">
        <v>24000</v>
      </c>
      <c r="CB326" s="64">
        <v>122719.834166</v>
      </c>
      <c r="CD326" s="6"/>
    </row>
    <row r="327" spans="1:83" ht="16.5" x14ac:dyDescent="0.25">
      <c r="A327" s="137">
        <f t="shared" si="95"/>
        <v>308</v>
      </c>
      <c r="B327" s="137">
        <f t="shared" si="96"/>
        <v>120</v>
      </c>
      <c r="C327" s="138" t="s">
        <v>206</v>
      </c>
      <c r="D327" s="138" t="s">
        <v>395</v>
      </c>
      <c r="E327" s="139">
        <v>1989</v>
      </c>
      <c r="F327" s="139">
        <v>1989</v>
      </c>
      <c r="G327" s="139" t="s">
        <v>64</v>
      </c>
      <c r="H327" s="54">
        <v>2</v>
      </c>
      <c r="I327" s="54">
        <v>2</v>
      </c>
      <c r="J327" s="55">
        <v>915</v>
      </c>
      <c r="K327" s="55">
        <v>892.81</v>
      </c>
      <c r="L327" s="55">
        <v>0</v>
      </c>
      <c r="M327" s="56">
        <v>32</v>
      </c>
      <c r="N327" s="108">
        <f t="shared" si="93"/>
        <v>8647683.5081600007</v>
      </c>
      <c r="O327" s="63"/>
      <c r="P327" s="55">
        <v>2483086.2799999998</v>
      </c>
      <c r="Q327" s="63"/>
      <c r="R327" s="63">
        <v>482392.32000000001</v>
      </c>
      <c r="S327" s="63">
        <v>3439921.51816</v>
      </c>
      <c r="T327" s="63">
        <v>2242283.39</v>
      </c>
      <c r="U327" s="63">
        <v>8999.6044826558791</v>
      </c>
      <c r="V327" s="63">
        <v>8999.6044826558791</v>
      </c>
      <c r="W327" s="109">
        <v>2023</v>
      </c>
      <c r="X327" s="6" t="e">
        <v>#REF!</v>
      </c>
      <c r="Z327" s="62">
        <f t="shared" si="98"/>
        <v>8546292.5500000007</v>
      </c>
      <c r="AA327" s="55">
        <v>0</v>
      </c>
      <c r="AB327" s="55">
        <v>0</v>
      </c>
      <c r="AC327" s="55">
        <v>0</v>
      </c>
      <c r="AD327" s="55">
        <v>0</v>
      </c>
      <c r="AE327" s="55">
        <v>0</v>
      </c>
      <c r="AF327" s="55"/>
      <c r="AG327" s="55">
        <v>0</v>
      </c>
      <c r="AH327" s="55">
        <v>0</v>
      </c>
      <c r="AI327" s="55">
        <v>7527061.7004869999</v>
      </c>
      <c r="AJ327" s="55">
        <v>0</v>
      </c>
      <c r="AK327" s="55">
        <v>0</v>
      </c>
      <c r="AL327" s="55">
        <v>0</v>
      </c>
      <c r="AM327" s="55">
        <v>769166.32949999999</v>
      </c>
      <c r="AN327" s="63">
        <v>85462.925499999998</v>
      </c>
      <c r="AO327" s="64">
        <v>164601.59451299999</v>
      </c>
      <c r="AP327" s="61">
        <f>+N327-'Приложение №2'!E327</f>
        <v>0</v>
      </c>
      <c r="AQ327" s="1">
        <v>367325.7</v>
      </c>
      <c r="AR327" s="3">
        <f t="shared" si="99"/>
        <v>91066.619999999981</v>
      </c>
      <c r="AS327" s="3">
        <f>+(K327*10+L327*20)*12*30</f>
        <v>3214115.9999999995</v>
      </c>
      <c r="AT327" s="6">
        <f t="shared" si="91"/>
        <v>225805.51816000044</v>
      </c>
      <c r="AW327" s="62">
        <f t="shared" si="100"/>
        <v>8034936.8781600008</v>
      </c>
      <c r="AX327" s="55">
        <v>0</v>
      </c>
      <c r="AY327" s="55">
        <v>0</v>
      </c>
      <c r="AZ327" s="55">
        <v>0</v>
      </c>
      <c r="BA327" s="55">
        <v>0</v>
      </c>
      <c r="BB327" s="55">
        <v>0</v>
      </c>
      <c r="BC327" s="55"/>
      <c r="BD327" s="55"/>
      <c r="BE327" s="55">
        <v>0</v>
      </c>
      <c r="BF327" s="55">
        <v>7785131.3600000003</v>
      </c>
      <c r="BG327" s="55">
        <v>0</v>
      </c>
      <c r="BH327" s="55">
        <v>0</v>
      </c>
      <c r="BI327" s="55">
        <v>0</v>
      </c>
      <c r="BJ327" s="55">
        <v>44378.15</v>
      </c>
      <c r="BK327" s="63">
        <v>24000</v>
      </c>
      <c r="BL327" s="111">
        <v>181427.36816000001</v>
      </c>
      <c r="BM327" s="62">
        <f t="shared" si="101"/>
        <v>8726008.7381600011</v>
      </c>
      <c r="BN327" s="55">
        <v>0</v>
      </c>
      <c r="BO327" s="55">
        <v>0</v>
      </c>
      <c r="BP327" s="55">
        <v>0</v>
      </c>
      <c r="BQ327" s="55">
        <v>0</v>
      </c>
      <c r="BR327" s="55">
        <v>0</v>
      </c>
      <c r="BS327" s="55"/>
      <c r="BT327" s="55"/>
      <c r="BU327" s="55">
        <v>0</v>
      </c>
      <c r="BV327" s="118">
        <v>8476203.2200000007</v>
      </c>
      <c r="BW327" s="55">
        <v>0</v>
      </c>
      <c r="BX327" s="55">
        <v>0</v>
      </c>
      <c r="BY327" s="55">
        <v>0</v>
      </c>
      <c r="BZ327" s="55">
        <v>44378.15</v>
      </c>
      <c r="CA327" s="63">
        <v>24000</v>
      </c>
      <c r="CB327" s="64">
        <v>181427.36816000001</v>
      </c>
      <c r="CD327" s="126"/>
      <c r="CE327" s="3"/>
    </row>
    <row r="328" spans="1:83" x14ac:dyDescent="0.25">
      <c r="A328" s="137">
        <f t="shared" si="95"/>
        <v>309</v>
      </c>
      <c r="B328" s="137">
        <f t="shared" si="96"/>
        <v>121</v>
      </c>
      <c r="C328" s="138" t="s">
        <v>206</v>
      </c>
      <c r="D328" s="138" t="s">
        <v>396</v>
      </c>
      <c r="E328" s="139">
        <v>1989</v>
      </c>
      <c r="F328" s="139">
        <v>1989</v>
      </c>
      <c r="G328" s="139" t="s">
        <v>64</v>
      </c>
      <c r="H328" s="54">
        <v>3</v>
      </c>
      <c r="I328" s="54">
        <v>2</v>
      </c>
      <c r="J328" s="55">
        <v>1225.2</v>
      </c>
      <c r="K328" s="55">
        <v>861.78</v>
      </c>
      <c r="L328" s="55">
        <v>363.42</v>
      </c>
      <c r="M328" s="56">
        <v>38</v>
      </c>
      <c r="N328" s="108">
        <f t="shared" si="93"/>
        <v>5522983.8570600003</v>
      </c>
      <c r="O328" s="63"/>
      <c r="P328" s="63">
        <v>1136928.29</v>
      </c>
      <c r="Q328" s="63"/>
      <c r="R328" s="63">
        <v>496995.11</v>
      </c>
      <c r="S328" s="63">
        <v>3889060.4570599999</v>
      </c>
      <c r="T328" s="63"/>
      <c r="U328" s="63">
        <v>4507.8222796767895</v>
      </c>
      <c r="V328" s="63">
        <v>4507.8222796767895</v>
      </c>
      <c r="W328" s="109">
        <v>2023</v>
      </c>
      <c r="X328" s="6" t="e">
        <v>#REF!</v>
      </c>
      <c r="Z328" s="62">
        <f t="shared" si="98"/>
        <v>8281653.2599999988</v>
      </c>
      <c r="AA328" s="55">
        <v>0</v>
      </c>
      <c r="AB328" s="55">
        <v>0</v>
      </c>
      <c r="AC328" s="55">
        <v>0</v>
      </c>
      <c r="AD328" s="55">
        <v>0</v>
      </c>
      <c r="AE328" s="55">
        <v>0</v>
      </c>
      <c r="AF328" s="55"/>
      <c r="AG328" s="55">
        <v>0</v>
      </c>
      <c r="AH328" s="55">
        <v>0</v>
      </c>
      <c r="AI328" s="55">
        <v>7293983.2922123997</v>
      </c>
      <c r="AJ328" s="55">
        <v>0</v>
      </c>
      <c r="AK328" s="55">
        <v>0</v>
      </c>
      <c r="AL328" s="55">
        <v>0</v>
      </c>
      <c r="AM328" s="55">
        <v>745348.79339999997</v>
      </c>
      <c r="AN328" s="63">
        <v>82816.532600000006</v>
      </c>
      <c r="AO328" s="64">
        <v>159504.64178760001</v>
      </c>
      <c r="AP328" s="61">
        <f>+N328-'Приложение №2'!E328</f>
        <v>0</v>
      </c>
      <c r="AQ328" s="1">
        <v>334955.87</v>
      </c>
      <c r="AR328" s="3">
        <f t="shared" si="99"/>
        <v>162039.24000000002</v>
      </c>
      <c r="AS328" s="3">
        <f>+(K328*10+L328*20)*12*30</f>
        <v>5719032.0000000009</v>
      </c>
      <c r="AT328" s="6">
        <f t="shared" si="91"/>
        <v>-1829971.542940001</v>
      </c>
      <c r="AU328" s="6" t="e">
        <v>#REF!</v>
      </c>
      <c r="AV328" s="6" t="e">
        <v>#REF!</v>
      </c>
      <c r="AW328" s="62">
        <f t="shared" si="100"/>
        <v>4448664.1270599999</v>
      </c>
      <c r="AX328" s="55">
        <v>0</v>
      </c>
      <c r="AY328" s="55">
        <v>0</v>
      </c>
      <c r="AZ328" s="55">
        <v>0</v>
      </c>
      <c r="BA328" s="55">
        <v>0</v>
      </c>
      <c r="BB328" s="55">
        <v>0</v>
      </c>
      <c r="BC328" s="55"/>
      <c r="BD328" s="55"/>
      <c r="BE328" s="55">
        <v>0</v>
      </c>
      <c r="BF328" s="55">
        <v>4203546.0199999996</v>
      </c>
      <c r="BG328" s="55">
        <v>0</v>
      </c>
      <c r="BH328" s="55">
        <v>0</v>
      </c>
      <c r="BI328" s="55">
        <v>0</v>
      </c>
      <c r="BJ328" s="55">
        <v>45375.360000000001</v>
      </c>
      <c r="BK328" s="63">
        <v>24000</v>
      </c>
      <c r="BL328" s="111">
        <v>175742.74705999999</v>
      </c>
      <c r="BM328" s="62">
        <f t="shared" si="101"/>
        <v>5522983.8570600003</v>
      </c>
      <c r="BN328" s="55">
        <v>0</v>
      </c>
      <c r="BO328" s="55">
        <v>0</v>
      </c>
      <c r="BP328" s="55">
        <v>0</v>
      </c>
      <c r="BQ328" s="55">
        <v>0</v>
      </c>
      <c r="BR328" s="55">
        <v>0</v>
      </c>
      <c r="BS328" s="55"/>
      <c r="BT328" s="55"/>
      <c r="BU328" s="55">
        <v>0</v>
      </c>
      <c r="BV328" s="55">
        <v>5277865.75</v>
      </c>
      <c r="BW328" s="55">
        <v>0</v>
      </c>
      <c r="BX328" s="55">
        <v>0</v>
      </c>
      <c r="BY328" s="55">
        <v>0</v>
      </c>
      <c r="BZ328" s="55">
        <v>45375.360000000001</v>
      </c>
      <c r="CA328" s="63">
        <v>24000</v>
      </c>
      <c r="CB328" s="64">
        <v>175742.74705999999</v>
      </c>
      <c r="CD328" s="3"/>
      <c r="CE328" s="6"/>
    </row>
    <row r="329" spans="1:83" x14ac:dyDescent="0.25">
      <c r="A329" s="137">
        <f t="shared" si="95"/>
        <v>310</v>
      </c>
      <c r="B329" s="137">
        <f t="shared" si="96"/>
        <v>122</v>
      </c>
      <c r="C329" s="146" t="s">
        <v>206</v>
      </c>
      <c r="D329" s="146" t="s">
        <v>207</v>
      </c>
      <c r="E329" s="139">
        <v>1976</v>
      </c>
      <c r="F329" s="139">
        <v>2008</v>
      </c>
      <c r="G329" s="139" t="s">
        <v>64</v>
      </c>
      <c r="H329" s="54">
        <v>4</v>
      </c>
      <c r="I329" s="54">
        <v>4</v>
      </c>
      <c r="J329" s="55">
        <v>4257.32</v>
      </c>
      <c r="K329" s="55">
        <v>3128.38</v>
      </c>
      <c r="L329" s="55">
        <v>991.08</v>
      </c>
      <c r="M329" s="56">
        <v>124</v>
      </c>
      <c r="N329" s="112">
        <f t="shared" si="93"/>
        <v>2531072.4384837402</v>
      </c>
      <c r="O329" s="55"/>
      <c r="P329" s="63"/>
      <c r="Q329" s="63"/>
      <c r="R329" s="63">
        <v>0</v>
      </c>
      <c r="S329" s="63">
        <v>2531072.4384837402</v>
      </c>
      <c r="T329" s="63"/>
      <c r="U329" s="55">
        <v>1050.5361310073999</v>
      </c>
      <c r="V329" s="55">
        <v>1050.5361310073999</v>
      </c>
      <c r="W329" s="109">
        <v>2023</v>
      </c>
      <c r="X329" s="6" t="e">
        <v>#REF!</v>
      </c>
      <c r="Z329" s="62">
        <f t="shared" si="98"/>
        <v>16411728.57</v>
      </c>
      <c r="AA329" s="55">
        <v>7185234.1705489801</v>
      </c>
      <c r="AB329" s="55">
        <v>2542217.2836664799</v>
      </c>
      <c r="AC329" s="55">
        <v>0</v>
      </c>
      <c r="AD329" s="55">
        <v>1662855.463857</v>
      </c>
      <c r="AE329" s="55">
        <v>2127796.9824119401</v>
      </c>
      <c r="AF329" s="55"/>
      <c r="AG329" s="55">
        <v>285097.02429768001</v>
      </c>
      <c r="AH329" s="55">
        <v>0</v>
      </c>
      <c r="AI329" s="55">
        <v>0</v>
      </c>
      <c r="AJ329" s="55">
        <v>0</v>
      </c>
      <c r="AK329" s="55">
        <v>0</v>
      </c>
      <c r="AL329" s="55">
        <v>0</v>
      </c>
      <c r="AM329" s="55">
        <v>2142562.3114999998</v>
      </c>
      <c r="AN329" s="63">
        <v>164117.28570000001</v>
      </c>
      <c r="AO329" s="64">
        <v>301848.04801791999</v>
      </c>
      <c r="AP329" s="61">
        <f>+N329-'Приложение №2'!E329</f>
        <v>0</v>
      </c>
      <c r="AQ329" s="6">
        <f>1377282.4-565094.81-R140</f>
        <v>-521275.08000000007</v>
      </c>
      <c r="AR329" s="3">
        <f t="shared" si="99"/>
        <v>521275.08</v>
      </c>
      <c r="AS329" s="3">
        <f>+(K329*10+L329*20)*12*30-180969.62-S140</f>
        <v>14075368.085616259</v>
      </c>
      <c r="AT329" s="6">
        <f t="shared" si="91"/>
        <v>-11544295.64713252</v>
      </c>
      <c r="AU329" s="6" t="e">
        <v>#REF!</v>
      </c>
      <c r="AV329" s="6" t="e">
        <v>#REF!</v>
      </c>
      <c r="AW329" s="62">
        <f t="shared" si="100"/>
        <v>3488921.0602397402</v>
      </c>
      <c r="AX329" s="55"/>
      <c r="AY329" s="55"/>
      <c r="AZ329" s="55">
        <v>0</v>
      </c>
      <c r="BA329" s="55">
        <v>1796569.131756</v>
      </c>
      <c r="BB329" s="55"/>
      <c r="BC329" s="55"/>
      <c r="BD329" s="55"/>
      <c r="BE329" s="55">
        <v>0</v>
      </c>
      <c r="BF329" s="55">
        <v>0</v>
      </c>
      <c r="BG329" s="55">
        <v>1450733.92</v>
      </c>
      <c r="BH329" s="55">
        <v>0</v>
      </c>
      <c r="BI329" s="55"/>
      <c r="BJ329" s="55"/>
      <c r="BK329" s="63"/>
      <c r="BL329" s="111">
        <v>241618.00848374001</v>
      </c>
      <c r="BM329" s="62">
        <f t="shared" si="101"/>
        <v>4327641.5702397395</v>
      </c>
      <c r="BN329" s="55"/>
      <c r="BO329" s="55"/>
      <c r="BP329" s="55">
        <v>0</v>
      </c>
      <c r="BQ329" s="55">
        <v>1796569.131756</v>
      </c>
      <c r="BR329" s="55"/>
      <c r="BS329" s="55"/>
      <c r="BT329" s="55"/>
      <c r="BU329" s="55">
        <v>0</v>
      </c>
      <c r="BV329" s="55">
        <v>0</v>
      </c>
      <c r="BW329" s="55">
        <v>2289454.4300000002</v>
      </c>
      <c r="BX329" s="55">
        <v>0</v>
      </c>
      <c r="BY329" s="55"/>
      <c r="BZ329" s="55"/>
      <c r="CA329" s="63"/>
      <c r="CB329" s="64">
        <v>241618.00848374001</v>
      </c>
      <c r="CD329" s="6"/>
    </row>
    <row r="330" spans="1:83" x14ac:dyDescent="0.25">
      <c r="A330" s="137">
        <f t="shared" si="95"/>
        <v>311</v>
      </c>
      <c r="B330" s="137">
        <f t="shared" si="96"/>
        <v>123</v>
      </c>
      <c r="C330" s="138" t="s">
        <v>206</v>
      </c>
      <c r="D330" s="138" t="s">
        <v>209</v>
      </c>
      <c r="E330" s="139">
        <v>1975</v>
      </c>
      <c r="F330" s="139">
        <v>2008</v>
      </c>
      <c r="G330" s="139" t="s">
        <v>64</v>
      </c>
      <c r="H330" s="54">
        <v>4</v>
      </c>
      <c r="I330" s="54">
        <v>4</v>
      </c>
      <c r="J330" s="55">
        <v>4182.96</v>
      </c>
      <c r="K330" s="55">
        <v>3048.03</v>
      </c>
      <c r="L330" s="55">
        <v>978.37</v>
      </c>
      <c r="M330" s="56">
        <v>135</v>
      </c>
      <c r="N330" s="108">
        <f t="shared" si="93"/>
        <v>3298610.7099898197</v>
      </c>
      <c r="O330" s="63"/>
      <c r="P330" s="63">
        <v>963170.08</v>
      </c>
      <c r="Q330" s="63"/>
      <c r="R330" s="63">
        <v>298481.96999999997</v>
      </c>
      <c r="S330" s="63">
        <v>2036958.6599898201</v>
      </c>
      <c r="T330" s="63"/>
      <c r="U330" s="55">
        <v>1849.23882793194</v>
      </c>
      <c r="V330" s="55">
        <v>1849.23882793194</v>
      </c>
      <c r="W330" s="109">
        <v>2023</v>
      </c>
      <c r="X330" s="6" t="e">
        <v>#REF!</v>
      </c>
      <c r="Z330" s="62">
        <f t="shared" si="98"/>
        <v>16048675.259999998</v>
      </c>
      <c r="AA330" s="55">
        <v>7026285.4671664201</v>
      </c>
      <c r="AB330" s="55">
        <v>2485979.4267953401</v>
      </c>
      <c r="AC330" s="55">
        <v>0</v>
      </c>
      <c r="AD330" s="55">
        <v>1626070.4809314001</v>
      </c>
      <c r="AE330" s="55">
        <v>2080726.7578889399</v>
      </c>
      <c r="AF330" s="55"/>
      <c r="AG330" s="55">
        <v>278790.22600296</v>
      </c>
      <c r="AH330" s="55">
        <v>0</v>
      </c>
      <c r="AI330" s="55">
        <v>0</v>
      </c>
      <c r="AJ330" s="55">
        <v>0</v>
      </c>
      <c r="AK330" s="55">
        <v>0</v>
      </c>
      <c r="AL330" s="55">
        <v>0</v>
      </c>
      <c r="AM330" s="55">
        <v>2095165.4553</v>
      </c>
      <c r="AN330" s="63">
        <v>160486.75260000001</v>
      </c>
      <c r="AO330" s="64">
        <v>295170.69331494003</v>
      </c>
      <c r="AP330" s="61">
        <f>+N330-'Приложение №2'!E330</f>
        <v>0</v>
      </c>
      <c r="AQ330" s="1">
        <f>1500891.17-445165.35</f>
        <v>1055725.8199999998</v>
      </c>
      <c r="AR330" s="3">
        <f t="shared" si="99"/>
        <v>510486.54</v>
      </c>
      <c r="AS330" s="3">
        <f>+(K330*10+L330*20)*12*30-179374.89</f>
        <v>17837797.109999999</v>
      </c>
      <c r="AT330" s="6">
        <f t="shared" si="91"/>
        <v>-15800838.450010179</v>
      </c>
      <c r="AU330" s="6" t="e">
        <v>#REF!</v>
      </c>
      <c r="AV330" s="6" t="e">
        <v>#REF!</v>
      </c>
      <c r="AW330" s="62">
        <f t="shared" si="100"/>
        <v>6482605.1367851608</v>
      </c>
      <c r="AX330" s="55"/>
      <c r="AY330" s="55">
        <v>2485979.4267953401</v>
      </c>
      <c r="AZ330" s="55">
        <v>0</v>
      </c>
      <c r="BA330" s="55">
        <v>1661185.08</v>
      </c>
      <c r="BB330" s="55"/>
      <c r="BC330" s="55"/>
      <c r="BD330" s="55"/>
      <c r="BE330" s="55">
        <v>0</v>
      </c>
      <c r="BF330" s="55">
        <v>0</v>
      </c>
      <c r="BG330" s="55">
        <v>2047663.62</v>
      </c>
      <c r="BH330" s="55">
        <v>0</v>
      </c>
      <c r="BI330" s="55"/>
      <c r="BJ330" s="55"/>
      <c r="BK330" s="63"/>
      <c r="BL330" s="111">
        <v>287777.00998982001</v>
      </c>
      <c r="BM330" s="62">
        <f t="shared" si="101"/>
        <v>7445775.2167851608</v>
      </c>
      <c r="BN330" s="55"/>
      <c r="BO330" s="55">
        <v>2485979.4267953401</v>
      </c>
      <c r="BP330" s="55">
        <v>0</v>
      </c>
      <c r="BQ330" s="55">
        <v>1661185.08</v>
      </c>
      <c r="BR330" s="55"/>
      <c r="BS330" s="55"/>
      <c r="BT330" s="55"/>
      <c r="BU330" s="55">
        <v>0</v>
      </c>
      <c r="BV330" s="55">
        <v>0</v>
      </c>
      <c r="BW330" s="55">
        <v>3010833.7</v>
      </c>
      <c r="BX330" s="55">
        <v>0</v>
      </c>
      <c r="BY330" s="55"/>
      <c r="BZ330" s="55"/>
      <c r="CA330" s="63"/>
      <c r="CB330" s="64">
        <v>287777.00998982001</v>
      </c>
    </row>
    <row r="331" spans="1:83" x14ac:dyDescent="0.25">
      <c r="A331" s="137">
        <f t="shared" si="95"/>
        <v>312</v>
      </c>
      <c r="B331" s="137">
        <f t="shared" si="96"/>
        <v>124</v>
      </c>
      <c r="C331" s="146" t="s">
        <v>397</v>
      </c>
      <c r="D331" s="146" t="s">
        <v>398</v>
      </c>
      <c r="E331" s="139">
        <v>1969</v>
      </c>
      <c r="F331" s="139">
        <v>2013</v>
      </c>
      <c r="G331" s="139" t="s">
        <v>64</v>
      </c>
      <c r="H331" s="54">
        <v>4</v>
      </c>
      <c r="I331" s="54">
        <v>2</v>
      </c>
      <c r="J331" s="55">
        <v>1421.6</v>
      </c>
      <c r="K331" s="55">
        <v>1089.9000000000001</v>
      </c>
      <c r="L331" s="55">
        <v>300.27999999999997</v>
      </c>
      <c r="M331" s="56">
        <v>49</v>
      </c>
      <c r="N331" s="112">
        <f t="shared" si="93"/>
        <v>1689825.30728905</v>
      </c>
      <c r="O331" s="55"/>
      <c r="P331" s="63"/>
      <c r="Q331" s="63"/>
      <c r="R331" s="63">
        <v>657903.43999999994</v>
      </c>
      <c r="S331" s="63">
        <v>1031921.86728905</v>
      </c>
      <c r="T331" s="147"/>
      <c r="U331" s="55">
        <v>1402.4192459171099</v>
      </c>
      <c r="V331" s="55">
        <v>1402.4192459171099</v>
      </c>
      <c r="W331" s="109">
        <v>2023</v>
      </c>
      <c r="X331" s="6" t="e">
        <v>#REF!</v>
      </c>
      <c r="Z331" s="62">
        <f t="shared" si="98"/>
        <v>1959828.6931142402</v>
      </c>
      <c r="AA331" s="55">
        <v>0</v>
      </c>
      <c r="AB331" s="55">
        <v>0</v>
      </c>
      <c r="AC331" s="55">
        <v>1706920.63958262</v>
      </c>
      <c r="AD331" s="55">
        <v>0</v>
      </c>
      <c r="AE331" s="55">
        <v>0</v>
      </c>
      <c r="AF331" s="55"/>
      <c r="AG331" s="55">
        <v>0</v>
      </c>
      <c r="AH331" s="55">
        <v>0</v>
      </c>
      <c r="AI331" s="55">
        <v>0</v>
      </c>
      <c r="AJ331" s="55">
        <v>0</v>
      </c>
      <c r="AK331" s="55">
        <v>0</v>
      </c>
      <c r="AL331" s="55">
        <v>0</v>
      </c>
      <c r="AM331" s="55">
        <v>195982.869311424</v>
      </c>
      <c r="AN331" s="63">
        <v>19598.2869311424</v>
      </c>
      <c r="AO331" s="64">
        <v>37326.897289053799</v>
      </c>
      <c r="AP331" s="61">
        <f>+N331-'Приложение №2'!E331</f>
        <v>-3.7252902984619141E-9</v>
      </c>
      <c r="AQ331" s="1">
        <v>485476.52</v>
      </c>
      <c r="AR331" s="3">
        <f t="shared" si="99"/>
        <v>172426.91999999998</v>
      </c>
      <c r="AS331" s="3">
        <f>+(K331*10+L331*20)*12*30</f>
        <v>6085655.9999999991</v>
      </c>
      <c r="AT331" s="6">
        <f t="shared" si="91"/>
        <v>-5053734.1327109486</v>
      </c>
      <c r="AU331" s="6" t="e">
        <v>#REF!</v>
      </c>
      <c r="AV331" s="6" t="e">
        <v>#REF!</v>
      </c>
      <c r="AW331" s="62">
        <f t="shared" si="100"/>
        <v>1949615.1872890538</v>
      </c>
      <c r="AX331" s="55">
        <v>0</v>
      </c>
      <c r="AY331" s="55">
        <v>0</v>
      </c>
      <c r="AZ331" s="55">
        <v>1912288.29</v>
      </c>
      <c r="BA331" s="55">
        <v>0</v>
      </c>
      <c r="BB331" s="55">
        <v>0</v>
      </c>
      <c r="BC331" s="55"/>
      <c r="BD331" s="55"/>
      <c r="BE331" s="55">
        <v>0</v>
      </c>
      <c r="BF331" s="55">
        <v>0</v>
      </c>
      <c r="BG331" s="55">
        <v>0</v>
      </c>
      <c r="BH331" s="55">
        <v>0</v>
      </c>
      <c r="BI331" s="55">
        <v>0</v>
      </c>
      <c r="BJ331" s="55"/>
      <c r="BK331" s="63"/>
      <c r="BL331" s="111">
        <v>37326.897289053799</v>
      </c>
      <c r="BM331" s="62">
        <f t="shared" si="101"/>
        <v>1949615.1872890538</v>
      </c>
      <c r="BN331" s="55">
        <v>0</v>
      </c>
      <c r="BO331" s="55">
        <v>0</v>
      </c>
      <c r="BP331" s="55">
        <v>1912288.29</v>
      </c>
      <c r="BQ331" s="55">
        <v>0</v>
      </c>
      <c r="BR331" s="55">
        <v>0</v>
      </c>
      <c r="BS331" s="55"/>
      <c r="BT331" s="55"/>
      <c r="BU331" s="55">
        <v>0</v>
      </c>
      <c r="BV331" s="55">
        <v>0</v>
      </c>
      <c r="BW331" s="55">
        <v>0</v>
      </c>
      <c r="BX331" s="55">
        <v>0</v>
      </c>
      <c r="BY331" s="55">
        <v>0</v>
      </c>
      <c r="BZ331" s="55"/>
      <c r="CA331" s="63"/>
      <c r="CB331" s="64">
        <v>37326.897289053799</v>
      </c>
    </row>
    <row r="332" spans="1:83" x14ac:dyDescent="0.25">
      <c r="A332" s="137">
        <f t="shared" si="95"/>
        <v>313</v>
      </c>
      <c r="B332" s="137">
        <f t="shared" si="96"/>
        <v>125</v>
      </c>
      <c r="C332" s="146" t="s">
        <v>397</v>
      </c>
      <c r="D332" s="146" t="s">
        <v>399</v>
      </c>
      <c r="E332" s="139">
        <v>1970</v>
      </c>
      <c r="F332" s="139">
        <v>2013</v>
      </c>
      <c r="G332" s="139" t="s">
        <v>64</v>
      </c>
      <c r="H332" s="54">
        <v>4</v>
      </c>
      <c r="I332" s="54">
        <v>2</v>
      </c>
      <c r="J332" s="55">
        <v>1437.6</v>
      </c>
      <c r="K332" s="55">
        <v>1362.7</v>
      </c>
      <c r="L332" s="55">
        <v>0</v>
      </c>
      <c r="M332" s="56">
        <v>55</v>
      </c>
      <c r="N332" s="112">
        <f t="shared" si="93"/>
        <v>1452449.2224496501</v>
      </c>
      <c r="O332" s="55"/>
      <c r="P332" s="63"/>
      <c r="Q332" s="63"/>
      <c r="R332" s="63">
        <v>706857.29</v>
      </c>
      <c r="S332" s="63">
        <v>745591.93244965002</v>
      </c>
      <c r="T332" s="55"/>
      <c r="U332" s="55">
        <v>1075.4766070666001</v>
      </c>
      <c r="V332" s="55">
        <v>1075.4766070666001</v>
      </c>
      <c r="W332" s="109">
        <v>2023</v>
      </c>
      <c r="X332" s="6" t="e">
        <v>#REF!</v>
      </c>
      <c r="Z332" s="62">
        <f t="shared" si="98"/>
        <v>1481678.1712512022</v>
      </c>
      <c r="AA332" s="55">
        <v>0</v>
      </c>
      <c r="AB332" s="55">
        <v>0</v>
      </c>
      <c r="AC332" s="55">
        <v>1290473.5299639199</v>
      </c>
      <c r="AD332" s="55">
        <v>0</v>
      </c>
      <c r="AE332" s="55">
        <v>0</v>
      </c>
      <c r="AF332" s="55"/>
      <c r="AG332" s="55">
        <v>0</v>
      </c>
      <c r="AH332" s="55">
        <v>0</v>
      </c>
      <c r="AI332" s="55">
        <v>0</v>
      </c>
      <c r="AJ332" s="55">
        <v>0</v>
      </c>
      <c r="AK332" s="55">
        <v>0</v>
      </c>
      <c r="AL332" s="55">
        <v>0</v>
      </c>
      <c r="AM332" s="55">
        <v>148167.81712512</v>
      </c>
      <c r="AN332" s="63">
        <v>14816.781712512</v>
      </c>
      <c r="AO332" s="64">
        <v>28220.042449650398</v>
      </c>
      <c r="AP332" s="61">
        <f>+N332-'Приложение №2'!E332</f>
        <v>0</v>
      </c>
      <c r="AQ332" s="1">
        <v>567861.89</v>
      </c>
      <c r="AR332" s="3">
        <f t="shared" si="99"/>
        <v>138995.4</v>
      </c>
      <c r="AS332" s="3">
        <f>+(K332*10+L332*20)*12*30</f>
        <v>4905720</v>
      </c>
      <c r="AT332" s="6">
        <f t="shared" si="91"/>
        <v>-4160128.06755035</v>
      </c>
      <c r="AU332" s="6" t="e">
        <v>#REF!</v>
      </c>
      <c r="AV332" s="6" t="e">
        <v>#REF!</v>
      </c>
      <c r="AW332" s="62">
        <f t="shared" si="100"/>
        <v>1465551.9724496503</v>
      </c>
      <c r="AX332" s="55">
        <v>0</v>
      </c>
      <c r="AY332" s="55">
        <v>0</v>
      </c>
      <c r="AZ332" s="55">
        <v>1437331.93</v>
      </c>
      <c r="BA332" s="55">
        <v>0</v>
      </c>
      <c r="BB332" s="55">
        <v>0</v>
      </c>
      <c r="BC332" s="55"/>
      <c r="BD332" s="55"/>
      <c r="BE332" s="55">
        <v>0</v>
      </c>
      <c r="BF332" s="55">
        <v>0</v>
      </c>
      <c r="BG332" s="55">
        <v>0</v>
      </c>
      <c r="BH332" s="55">
        <v>0</v>
      </c>
      <c r="BI332" s="55">
        <v>0</v>
      </c>
      <c r="BJ332" s="55"/>
      <c r="BK332" s="63"/>
      <c r="BL332" s="111">
        <v>28220.042449650398</v>
      </c>
      <c r="BM332" s="62">
        <f t="shared" si="101"/>
        <v>1465551.9724496503</v>
      </c>
      <c r="BN332" s="55">
        <v>0</v>
      </c>
      <c r="BO332" s="55">
        <v>0</v>
      </c>
      <c r="BP332" s="55">
        <v>1437331.93</v>
      </c>
      <c r="BQ332" s="55">
        <v>0</v>
      </c>
      <c r="BR332" s="55">
        <v>0</v>
      </c>
      <c r="BS332" s="55"/>
      <c r="BT332" s="55"/>
      <c r="BU332" s="55">
        <v>0</v>
      </c>
      <c r="BV332" s="55">
        <v>0</v>
      </c>
      <c r="BW332" s="55">
        <v>0</v>
      </c>
      <c r="BX332" s="55">
        <v>0</v>
      </c>
      <c r="BY332" s="55">
        <v>0</v>
      </c>
      <c r="BZ332" s="55"/>
      <c r="CA332" s="63"/>
      <c r="CB332" s="64">
        <v>28220.042449650398</v>
      </c>
    </row>
    <row r="333" spans="1:83" x14ac:dyDescent="0.25">
      <c r="A333" s="137">
        <f t="shared" si="95"/>
        <v>314</v>
      </c>
      <c r="B333" s="137">
        <f t="shared" si="96"/>
        <v>126</v>
      </c>
      <c r="C333" s="138" t="s">
        <v>212</v>
      </c>
      <c r="D333" s="138" t="s">
        <v>400</v>
      </c>
      <c r="E333" s="139">
        <v>1977</v>
      </c>
      <c r="F333" s="139">
        <v>1977</v>
      </c>
      <c r="G333" s="139" t="s">
        <v>64</v>
      </c>
      <c r="H333" s="54">
        <v>5</v>
      </c>
      <c r="I333" s="54">
        <v>1</v>
      </c>
      <c r="J333" s="55">
        <v>1730.3</v>
      </c>
      <c r="K333" s="55">
        <v>1456.4</v>
      </c>
      <c r="L333" s="55">
        <v>0</v>
      </c>
      <c r="M333" s="56">
        <v>49</v>
      </c>
      <c r="N333" s="108">
        <f t="shared" si="93"/>
        <v>17845432.140000001</v>
      </c>
      <c r="O333" s="63"/>
      <c r="P333" s="63">
        <f>8955461.07+1753973.84-196116.1+3050599.92</f>
        <v>13563918.73</v>
      </c>
      <c r="Q333" s="63"/>
      <c r="R333" s="63">
        <v>1315.8</v>
      </c>
      <c r="S333" s="63">
        <v>4280197.6100000003</v>
      </c>
      <c r="T333" s="55"/>
      <c r="U333" s="55">
        <v>12258.2707206344</v>
      </c>
      <c r="V333" s="55">
        <v>12258.2707206344</v>
      </c>
      <c r="W333" s="109">
        <v>2023</v>
      </c>
      <c r="X333" s="6" t="e">
        <v>#REF!</v>
      </c>
      <c r="Z333" s="62">
        <f t="shared" si="98"/>
        <v>38072067.119999997</v>
      </c>
      <c r="AA333" s="55">
        <v>4710479.1050062198</v>
      </c>
      <c r="AB333" s="55">
        <v>2176226.3089270201</v>
      </c>
      <c r="AC333" s="55">
        <v>2204614.38392244</v>
      </c>
      <c r="AD333" s="55">
        <v>1424137.12034328</v>
      </c>
      <c r="AE333" s="55">
        <v>0</v>
      </c>
      <c r="AF333" s="55"/>
      <c r="AG333" s="55">
        <v>146063.50321331999</v>
      </c>
      <c r="AH333" s="55">
        <v>0</v>
      </c>
      <c r="AI333" s="55">
        <v>11068738.746596999</v>
      </c>
      <c r="AJ333" s="55">
        <v>0</v>
      </c>
      <c r="AK333" s="55">
        <v>5717896.3951359596</v>
      </c>
      <c r="AL333" s="55">
        <v>5901111.3759780005</v>
      </c>
      <c r="AM333" s="55">
        <v>3612798.5854000002</v>
      </c>
      <c r="AN333" s="63">
        <v>380720.67119999998</v>
      </c>
      <c r="AO333" s="64">
        <v>729280.92427675996</v>
      </c>
      <c r="AP333" s="61">
        <f>+N333-'Приложение №2'!E333</f>
        <v>2.4679973721504211E-3</v>
      </c>
      <c r="AQ333" s="6">
        <f>590020.37-R145</f>
        <v>-147237</v>
      </c>
      <c r="AR333" s="3">
        <f t="shared" si="99"/>
        <v>148552.79999999999</v>
      </c>
      <c r="AS333" s="3">
        <f>+(K333*10+L333*20)*12*30-S145</f>
        <v>3789794.2800000003</v>
      </c>
      <c r="AT333" s="6">
        <f t="shared" si="91"/>
        <v>490403.33000000007</v>
      </c>
      <c r="AU333" s="6" t="e">
        <v>#REF!</v>
      </c>
      <c r="AV333" s="6" t="e">
        <v>#REF!</v>
      </c>
      <c r="AW333" s="62">
        <f t="shared" si="100"/>
        <v>17852945.477531999</v>
      </c>
      <c r="AX333" s="55">
        <v>5026597.2300000004</v>
      </c>
      <c r="AY333" s="55">
        <v>2161426.54</v>
      </c>
      <c r="AZ333" s="55">
        <v>2221327.14</v>
      </c>
      <c r="BA333" s="55">
        <v>1568575.74</v>
      </c>
      <c r="BB333" s="55"/>
      <c r="BC333" s="55"/>
      <c r="BD333" s="55"/>
      <c r="BE333" s="55"/>
      <c r="BF333" s="55"/>
      <c r="BG333" s="55">
        <v>0</v>
      </c>
      <c r="BH333" s="55"/>
      <c r="BI333" s="55">
        <v>6200769.6399999997</v>
      </c>
      <c r="BJ333" s="55"/>
      <c r="BK333" s="63"/>
      <c r="BL333" s="111">
        <v>674249.18753200001</v>
      </c>
      <c r="BM333" s="62">
        <f t="shared" si="101"/>
        <v>17845432.137532003</v>
      </c>
      <c r="BN333" s="55">
        <v>5026597.2300000004</v>
      </c>
      <c r="BO333" s="118">
        <v>1761810.43</v>
      </c>
      <c r="BP333" s="118">
        <v>2190965.2999999998</v>
      </c>
      <c r="BQ333" s="118">
        <v>962343.08</v>
      </c>
      <c r="BR333" s="55"/>
      <c r="BS333" s="55"/>
      <c r="BT333" s="55"/>
      <c r="BU333" s="55"/>
      <c r="BV333" s="55"/>
      <c r="BW333" s="55">
        <v>0</v>
      </c>
      <c r="BX333" s="55"/>
      <c r="BY333" s="118">
        <v>7229466.9100000001</v>
      </c>
      <c r="BZ333" s="55"/>
      <c r="CA333" s="63"/>
      <c r="CB333" s="64">
        <v>674249.18753200001</v>
      </c>
      <c r="CD333" s="3"/>
    </row>
    <row r="334" spans="1:83" x14ac:dyDescent="0.25">
      <c r="A334" s="137">
        <f t="shared" si="95"/>
        <v>315</v>
      </c>
      <c r="B334" s="137">
        <f t="shared" si="96"/>
        <v>127</v>
      </c>
      <c r="C334" s="138" t="s">
        <v>214</v>
      </c>
      <c r="D334" s="138" t="s">
        <v>401</v>
      </c>
      <c r="E334" s="139">
        <v>1984</v>
      </c>
      <c r="F334" s="139">
        <v>1984</v>
      </c>
      <c r="G334" s="139" t="s">
        <v>64</v>
      </c>
      <c r="H334" s="54">
        <v>5</v>
      </c>
      <c r="I334" s="54">
        <v>4</v>
      </c>
      <c r="J334" s="55">
        <v>3359.4</v>
      </c>
      <c r="K334" s="55">
        <v>2391.8000000000002</v>
      </c>
      <c r="L334" s="55">
        <v>553.20000000000005</v>
      </c>
      <c r="M334" s="56">
        <v>62</v>
      </c>
      <c r="N334" s="108">
        <f t="shared" si="93"/>
        <v>18301775.177377328</v>
      </c>
      <c r="O334" s="63"/>
      <c r="P334" s="63">
        <f>10041027.15+2382250.6+408269.66+234825.18</f>
        <v>13066372.59</v>
      </c>
      <c r="Q334" s="63"/>
      <c r="R334" s="63">
        <v>442334.41</v>
      </c>
      <c r="S334" s="63">
        <v>4793068.1773773301</v>
      </c>
      <c r="T334" s="55"/>
      <c r="U334" s="55">
        <v>9447.5019991094505</v>
      </c>
      <c r="V334" s="55">
        <v>9447.5019991094505</v>
      </c>
      <c r="W334" s="109">
        <v>2023</v>
      </c>
      <c r="X334" s="6" t="e">
        <v>#REF!</v>
      </c>
      <c r="Z334" s="62">
        <f t="shared" si="98"/>
        <v>24399375.708956137</v>
      </c>
      <c r="AA334" s="55">
        <v>0</v>
      </c>
      <c r="AB334" s="55">
        <v>0</v>
      </c>
      <c r="AC334" s="55">
        <v>0</v>
      </c>
      <c r="AD334" s="55">
        <v>0</v>
      </c>
      <c r="AE334" s="55">
        <v>0</v>
      </c>
      <c r="AF334" s="55"/>
      <c r="AG334" s="55">
        <v>0</v>
      </c>
      <c r="AH334" s="55">
        <v>0</v>
      </c>
      <c r="AI334" s="55">
        <v>0</v>
      </c>
      <c r="AJ334" s="55">
        <v>0</v>
      </c>
      <c r="AK334" s="55">
        <v>10229706.1</v>
      </c>
      <c r="AL334" s="55">
        <v>13577874.103205999</v>
      </c>
      <c r="AM334" s="55">
        <v>258631.32</v>
      </c>
      <c r="AN334" s="55">
        <v>39488.83</v>
      </c>
      <c r="AO334" s="64">
        <v>293675.35575013998</v>
      </c>
      <c r="AP334" s="61">
        <f>+N334-'Приложение №2'!E334</f>
        <v>0</v>
      </c>
      <c r="AQ334" s="6">
        <f>1110865.63-R146</f>
        <v>618086.44999999995</v>
      </c>
      <c r="AR334" s="3">
        <f t="shared" si="99"/>
        <v>356816.39999999997</v>
      </c>
      <c r="AS334" s="3">
        <f>+(K334*10+L334*20)*12*30-3112059.45-S146</f>
        <v>3807576.7500000009</v>
      </c>
      <c r="AT334" s="6">
        <f t="shared" ref="AT334:AT365" si="102">+S334-AS334</f>
        <v>985491.42737732921</v>
      </c>
      <c r="AU334" s="6" t="e">
        <v>#REF!</v>
      </c>
      <c r="AV334" s="6" t="e">
        <v>#REF!</v>
      </c>
      <c r="AW334" s="62">
        <f t="shared" si="100"/>
        <v>27822893.387377329</v>
      </c>
      <c r="AX334" s="55"/>
      <c r="AY334" s="55"/>
      <c r="AZ334" s="55">
        <v>3949042.3</v>
      </c>
      <c r="BA334" s="55"/>
      <c r="BB334" s="55">
        <v>0</v>
      </c>
      <c r="BC334" s="55"/>
      <c r="BD334" s="55"/>
      <c r="BE334" s="55">
        <v>0</v>
      </c>
      <c r="BF334" s="55"/>
      <c r="BG334" s="55">
        <v>0</v>
      </c>
      <c r="BH334" s="55">
        <v>10229706.1</v>
      </c>
      <c r="BI334" s="55">
        <v>12638125.92</v>
      </c>
      <c r="BJ334" s="55"/>
      <c r="BK334" s="55"/>
      <c r="BL334" s="111">
        <v>1006019.06737733</v>
      </c>
      <c r="BM334" s="62">
        <f t="shared" si="101"/>
        <v>28531481.27737733</v>
      </c>
      <c r="BN334" s="55"/>
      <c r="BO334" s="55"/>
      <c r="BP334" s="118">
        <v>3897843.76</v>
      </c>
      <c r="BQ334" s="55"/>
      <c r="BR334" s="55">
        <v>0</v>
      </c>
      <c r="BS334" s="55"/>
      <c r="BT334" s="55"/>
      <c r="BU334" s="55">
        <v>0</v>
      </c>
      <c r="BV334" s="55"/>
      <c r="BW334" s="55">
        <v>0</v>
      </c>
      <c r="BX334" s="55">
        <v>10229706.1</v>
      </c>
      <c r="BY334" s="118">
        <v>13397912.35</v>
      </c>
      <c r="BZ334" s="55"/>
      <c r="CA334" s="55"/>
      <c r="CB334" s="64">
        <v>1006019.06737733</v>
      </c>
      <c r="CD334" s="6"/>
    </row>
    <row r="335" spans="1:83" x14ac:dyDescent="0.25">
      <c r="A335" s="137">
        <f t="shared" si="95"/>
        <v>316</v>
      </c>
      <c r="B335" s="137">
        <f t="shared" si="96"/>
        <v>128</v>
      </c>
      <c r="C335" s="146" t="s">
        <v>218</v>
      </c>
      <c r="D335" s="146" t="s">
        <v>402</v>
      </c>
      <c r="E335" s="139">
        <v>1972</v>
      </c>
      <c r="F335" s="139">
        <v>2013</v>
      </c>
      <c r="G335" s="139" t="s">
        <v>64</v>
      </c>
      <c r="H335" s="54">
        <v>4</v>
      </c>
      <c r="I335" s="54">
        <v>3</v>
      </c>
      <c r="J335" s="55">
        <v>1348.9</v>
      </c>
      <c r="K335" s="55">
        <v>1047.4000000000001</v>
      </c>
      <c r="L335" s="55">
        <v>182.5</v>
      </c>
      <c r="M335" s="56">
        <v>50</v>
      </c>
      <c r="N335" s="112">
        <f t="shared" si="93"/>
        <v>843416.25869475096</v>
      </c>
      <c r="O335" s="55"/>
      <c r="P335" s="63"/>
      <c r="Q335" s="63"/>
      <c r="R335" s="63">
        <v>425426.03964238602</v>
      </c>
      <c r="S335" s="63">
        <v>417990.21905236499</v>
      </c>
      <c r="T335" s="55"/>
      <c r="U335" s="63">
        <v>3239.3243803168498</v>
      </c>
      <c r="V335" s="63">
        <v>1362.2830200640001</v>
      </c>
      <c r="W335" s="109">
        <v>2023</v>
      </c>
      <c r="X335" s="6" t="e">
        <v>#REF!</v>
      </c>
      <c r="Z335" s="62">
        <f t="shared" si="98"/>
        <v>6001891.9499999993</v>
      </c>
      <c r="AA335" s="55">
        <v>0</v>
      </c>
      <c r="AB335" s="55">
        <v>0</v>
      </c>
      <c r="AC335" s="55">
        <v>1189999.01255088</v>
      </c>
      <c r="AD335" s="55">
        <v>0</v>
      </c>
      <c r="AE335" s="55">
        <v>0</v>
      </c>
      <c r="AF335" s="55"/>
      <c r="AG335" s="55">
        <v>0</v>
      </c>
      <c r="AH335" s="55">
        <v>0</v>
      </c>
      <c r="AI335" s="55">
        <v>0</v>
      </c>
      <c r="AJ335" s="55">
        <v>764864.79162030003</v>
      </c>
      <c r="AK335" s="55">
        <v>0</v>
      </c>
      <c r="AL335" s="55">
        <v>3272507.9972491199</v>
      </c>
      <c r="AM335" s="55">
        <v>600189.19499999995</v>
      </c>
      <c r="AN335" s="63">
        <v>60018.919500000004</v>
      </c>
      <c r="AO335" s="64">
        <v>114312.0340797</v>
      </c>
      <c r="AP335" s="61">
        <f>+N335-'Приложение №2'!E335</f>
        <v>9.3132257461547852E-10</v>
      </c>
      <c r="AQ335" s="65">
        <v>655483.31000000006</v>
      </c>
      <c r="AR335" s="3">
        <f>+(K335*10.5+L335*21)*12*0.85</f>
        <v>151268.04</v>
      </c>
      <c r="AS335" s="3">
        <f>+(K335*10.5+L335*21)*12*30</f>
        <v>5338872.0000000009</v>
      </c>
      <c r="AT335" s="6">
        <f t="shared" si="102"/>
        <v>-4920881.7809476359</v>
      </c>
      <c r="AU335" s="6" t="e">
        <v>#REF!</v>
      </c>
      <c r="AV335" s="6" t="e">
        <v>#REF!</v>
      </c>
      <c r="AW335" s="110">
        <f t="shared" si="100"/>
        <v>3392868.3559438698</v>
      </c>
      <c r="AX335" s="55">
        <v>0</v>
      </c>
      <c r="AY335" s="55">
        <v>0</v>
      </c>
      <c r="AZ335" s="55"/>
      <c r="BA335" s="55">
        <v>0</v>
      </c>
      <c r="BB335" s="55">
        <v>0</v>
      </c>
      <c r="BC335" s="55"/>
      <c r="BD335" s="55"/>
      <c r="BE335" s="55">
        <v>0</v>
      </c>
      <c r="BF335" s="55">
        <v>0</v>
      </c>
      <c r="BG335" s="55"/>
      <c r="BH335" s="55">
        <v>0</v>
      </c>
      <c r="BI335" s="55">
        <v>3272507.9972491199</v>
      </c>
      <c r="BJ335" s="55"/>
      <c r="BK335" s="63"/>
      <c r="BL335" s="111">
        <v>120360.35869475</v>
      </c>
      <c r="BM335" s="110">
        <f t="shared" si="101"/>
        <v>843416.25869475002</v>
      </c>
      <c r="BN335" s="55">
        <v>0</v>
      </c>
      <c r="BO335" s="55">
        <v>0</v>
      </c>
      <c r="BP335" s="55"/>
      <c r="BQ335" s="55">
        <v>0</v>
      </c>
      <c r="BR335" s="55">
        <v>0</v>
      </c>
      <c r="BS335" s="55"/>
      <c r="BT335" s="55"/>
      <c r="BU335" s="55">
        <v>0</v>
      </c>
      <c r="BV335" s="55">
        <v>0</v>
      </c>
      <c r="BW335" s="55"/>
      <c r="BX335" s="55">
        <v>0</v>
      </c>
      <c r="BY335" s="55">
        <v>723055.9</v>
      </c>
      <c r="BZ335" s="55"/>
      <c r="CA335" s="63"/>
      <c r="CB335" s="64">
        <v>120360.35869475</v>
      </c>
      <c r="CD335" s="3"/>
    </row>
    <row r="336" spans="1:83" x14ac:dyDescent="0.25">
      <c r="A336" s="137">
        <f t="shared" si="95"/>
        <v>317</v>
      </c>
      <c r="B336" s="137">
        <f t="shared" si="96"/>
        <v>129</v>
      </c>
      <c r="C336" s="146" t="s">
        <v>218</v>
      </c>
      <c r="D336" s="146" t="s">
        <v>403</v>
      </c>
      <c r="E336" s="139">
        <v>1977</v>
      </c>
      <c r="F336" s="139">
        <v>1977</v>
      </c>
      <c r="G336" s="139" t="s">
        <v>64</v>
      </c>
      <c r="H336" s="54">
        <v>4</v>
      </c>
      <c r="I336" s="54">
        <v>1</v>
      </c>
      <c r="J336" s="55">
        <v>1434.1</v>
      </c>
      <c r="K336" s="55">
        <v>1287.5999999999999</v>
      </c>
      <c r="L336" s="55">
        <v>100.6</v>
      </c>
      <c r="M336" s="56">
        <v>46</v>
      </c>
      <c r="N336" s="112">
        <f t="shared" ref="N336:N367" si="103">+P336+Q336+R336+S336+T336</f>
        <v>17566220.958983999</v>
      </c>
      <c r="O336" s="55"/>
      <c r="P336" s="148">
        <v>4825024.43</v>
      </c>
      <c r="Q336" s="63"/>
      <c r="R336" s="63">
        <v>755102.63</v>
      </c>
      <c r="S336" s="63">
        <v>11986093.898984</v>
      </c>
      <c r="T336" s="63"/>
      <c r="U336" s="63">
        <v>14353.416300094699</v>
      </c>
      <c r="V336" s="63">
        <v>1374.2830200640001</v>
      </c>
      <c r="W336" s="109">
        <v>2023</v>
      </c>
      <c r="X336" s="6" t="e">
        <v>#REF!</v>
      </c>
      <c r="Z336" s="62">
        <f t="shared" si="98"/>
        <v>23517143.800000001</v>
      </c>
      <c r="AA336" s="55">
        <v>3661472.2518719998</v>
      </c>
      <c r="AB336" s="55">
        <v>1317876.0443460001</v>
      </c>
      <c r="AC336" s="55">
        <v>1401977.691654</v>
      </c>
      <c r="AD336" s="55">
        <v>886159.65735600004</v>
      </c>
      <c r="AE336" s="55">
        <v>0</v>
      </c>
      <c r="AF336" s="55"/>
      <c r="AG336" s="55">
        <v>124380.97009800001</v>
      </c>
      <c r="AH336" s="55">
        <v>0</v>
      </c>
      <c r="AI336" s="55">
        <v>6856026.5788080003</v>
      </c>
      <c r="AJ336" s="55">
        <v>848379.40495800006</v>
      </c>
      <c r="AK336" s="55">
        <v>3566453.5386839998</v>
      </c>
      <c r="AL336" s="55">
        <v>3838143.5148840002</v>
      </c>
      <c r="AM336" s="55">
        <v>460066.39</v>
      </c>
      <c r="AN336" s="55">
        <v>64159.31</v>
      </c>
      <c r="AO336" s="64">
        <v>492048.44734000001</v>
      </c>
      <c r="AP336" s="61">
        <f>+N336-'Приложение №2'!E336</f>
        <v>3.7252902984619141E-8</v>
      </c>
      <c r="AQ336" s="65">
        <v>595652.15</v>
      </c>
      <c r="AR336" s="3">
        <f>+(K336*10.5+L336*21)*12*0.85</f>
        <v>159450.47999999998</v>
      </c>
      <c r="AS336" s="3">
        <f>+(K336*10.5+L336*21)*12*30</f>
        <v>5627664</v>
      </c>
      <c r="AT336" s="6">
        <f t="shared" si="102"/>
        <v>6358429.8989840001</v>
      </c>
      <c r="AU336" s="6" t="e">
        <v>#REF!</v>
      </c>
      <c r="AV336" s="6" t="e">
        <v>#REF!</v>
      </c>
      <c r="AW336" s="110">
        <f t="shared" si="100"/>
        <v>18481458.828001961</v>
      </c>
      <c r="AX336" s="55">
        <v>3661472.2518719998</v>
      </c>
      <c r="AY336" s="55">
        <v>1317876.0443460001</v>
      </c>
      <c r="AZ336" s="55">
        <v>1401977.691654</v>
      </c>
      <c r="BA336" s="55">
        <v>886159.65735600004</v>
      </c>
      <c r="BB336" s="55">
        <v>0</v>
      </c>
      <c r="BC336" s="55"/>
      <c r="BD336" s="55">
        <v>124380.97009800001</v>
      </c>
      <c r="BE336" s="55">
        <v>0</v>
      </c>
      <c r="BF336" s="55">
        <v>6856026.5788080003</v>
      </c>
      <c r="BG336" s="55"/>
      <c r="BH336" s="55"/>
      <c r="BI336" s="55">
        <v>3838143.5148840002</v>
      </c>
      <c r="BJ336" s="55"/>
      <c r="BK336" s="55"/>
      <c r="BL336" s="111">
        <v>395422.11898396001</v>
      </c>
      <c r="BM336" s="110">
        <f t="shared" si="101"/>
        <v>18246687.396347962</v>
      </c>
      <c r="BN336" s="55">
        <v>3661472.2518719998</v>
      </c>
      <c r="BO336" s="55">
        <v>1317876.0443460001</v>
      </c>
      <c r="BP336" s="118">
        <v>1167206.26</v>
      </c>
      <c r="BQ336" s="55">
        <v>886159.65735600004</v>
      </c>
      <c r="BR336" s="55">
        <v>0</v>
      </c>
      <c r="BS336" s="55"/>
      <c r="BT336" s="55">
        <v>124380.97009800001</v>
      </c>
      <c r="BU336" s="55">
        <v>0</v>
      </c>
      <c r="BV336" s="55">
        <v>6856026.5788080003</v>
      </c>
      <c r="BW336" s="55"/>
      <c r="BX336" s="55"/>
      <c r="BY336" s="55">
        <v>3838143.5148840002</v>
      </c>
      <c r="BZ336" s="55"/>
      <c r="CA336" s="55"/>
      <c r="CB336" s="64">
        <v>395422.11898396001</v>
      </c>
      <c r="CD336" s="6"/>
    </row>
    <row r="337" spans="1:83" s="69" customFormat="1" x14ac:dyDescent="0.25">
      <c r="A337" s="137">
        <f t="shared" si="95"/>
        <v>318</v>
      </c>
      <c r="B337" s="137">
        <f t="shared" si="96"/>
        <v>130</v>
      </c>
      <c r="C337" s="138" t="s">
        <v>218</v>
      </c>
      <c r="D337" s="138" t="s">
        <v>404</v>
      </c>
      <c r="E337" s="139" t="s">
        <v>100</v>
      </c>
      <c r="F337" s="139"/>
      <c r="G337" s="139" t="s">
        <v>64</v>
      </c>
      <c r="H337" s="54" t="s">
        <v>101</v>
      </c>
      <c r="I337" s="54" t="s">
        <v>184</v>
      </c>
      <c r="J337" s="55">
        <v>6010.4</v>
      </c>
      <c r="K337" s="55">
        <v>4246.1000000000004</v>
      </c>
      <c r="L337" s="55">
        <v>999.9</v>
      </c>
      <c r="M337" s="56">
        <v>135</v>
      </c>
      <c r="N337" s="108">
        <f t="shared" si="103"/>
        <v>49585315.306552701</v>
      </c>
      <c r="O337" s="63">
        <v>0</v>
      </c>
      <c r="P337" s="63">
        <v>21572351.43</v>
      </c>
      <c r="Q337" s="63">
        <v>1821800</v>
      </c>
      <c r="R337" s="63">
        <v>4098343.92</v>
      </c>
      <c r="S337" s="63">
        <v>22092819.956552699</v>
      </c>
      <c r="T337" s="63"/>
      <c r="U337" s="55">
        <v>10376.1525433728</v>
      </c>
      <c r="V337" s="55">
        <v>10376.1525433728</v>
      </c>
      <c r="W337" s="109">
        <v>2023</v>
      </c>
      <c r="X337" s="69">
        <v>2132659.2599999998</v>
      </c>
      <c r="Y337" s="69">
        <f>+(K337*9.1+L337*18.19)*12</f>
        <v>681932.29200000013</v>
      </c>
      <c r="AA337" s="70" t="e">
        <v>#REF!</v>
      </c>
      <c r="AD337" s="70" t="e">
        <v>#REF!</v>
      </c>
      <c r="AP337" s="61">
        <f>+N337-'Приложение №2'!E337</f>
        <v>0</v>
      </c>
      <c r="AQ337" s="73">
        <v>3461262.12</v>
      </c>
      <c r="AR337" s="3">
        <f>+(K337*10+L337*20)*12*0.85</f>
        <v>637081.79999999993</v>
      </c>
      <c r="AS337" s="3">
        <f>+(K337*10+L337*20)*12*30</f>
        <v>22485240</v>
      </c>
      <c r="AT337" s="6">
        <f t="shared" si="102"/>
        <v>-392420.04344730079</v>
      </c>
      <c r="AU337" s="6"/>
      <c r="AV337" s="6"/>
      <c r="AW337" s="62">
        <f t="shared" si="100"/>
        <v>58126032.092533484</v>
      </c>
      <c r="AX337" s="55">
        <v>11786769.199999999</v>
      </c>
      <c r="AY337" s="55">
        <v>5983962.0899999999</v>
      </c>
      <c r="AZ337" s="55">
        <v>4295794.0999999996</v>
      </c>
      <c r="BA337" s="55"/>
      <c r="BB337" s="55"/>
      <c r="BC337" s="55"/>
      <c r="BD337" s="55"/>
      <c r="BE337" s="55"/>
      <c r="BF337" s="55">
        <v>30868652.559999999</v>
      </c>
      <c r="BG337" s="55"/>
      <c r="BH337" s="55"/>
      <c r="BI337" s="55">
        <v>2170343.35</v>
      </c>
      <c r="BJ337" s="55">
        <v>1495997.29</v>
      </c>
      <c r="BK337" s="55">
        <v>43785.235980799996</v>
      </c>
      <c r="BL337" s="111">
        <v>1480728.2665526799</v>
      </c>
      <c r="BM337" s="62">
        <f t="shared" si="101"/>
        <v>49886186.692533478</v>
      </c>
      <c r="BN337" s="55">
        <v>7902876.3399999999</v>
      </c>
      <c r="BO337" s="55">
        <v>4092711.1</v>
      </c>
      <c r="BP337" s="55">
        <v>4295794.0999999996</v>
      </c>
      <c r="BQ337" s="55"/>
      <c r="BR337" s="55"/>
      <c r="BS337" s="55"/>
      <c r="BT337" s="55"/>
      <c r="BU337" s="55"/>
      <c r="BV337" s="118">
        <v>28212794</v>
      </c>
      <c r="BW337" s="55"/>
      <c r="BX337" s="55"/>
      <c r="BY337" s="55">
        <v>2361500.36</v>
      </c>
      <c r="BZ337" s="55">
        <v>1495997.29</v>
      </c>
      <c r="CA337" s="55">
        <v>43785.235980799996</v>
      </c>
      <c r="CB337" s="64">
        <v>1480728.2665526799</v>
      </c>
      <c r="CD337" s="70"/>
    </row>
    <row r="338" spans="1:83" x14ac:dyDescent="0.25">
      <c r="A338" s="137">
        <f t="shared" si="95"/>
        <v>319</v>
      </c>
      <c r="B338" s="137">
        <f t="shared" si="96"/>
        <v>131</v>
      </c>
      <c r="C338" s="138" t="s">
        <v>218</v>
      </c>
      <c r="D338" s="138" t="s">
        <v>405</v>
      </c>
      <c r="E338" s="139">
        <v>1970</v>
      </c>
      <c r="F338" s="139">
        <v>1970</v>
      </c>
      <c r="G338" s="139" t="s">
        <v>64</v>
      </c>
      <c r="H338" s="54">
        <v>4</v>
      </c>
      <c r="I338" s="54">
        <v>1</v>
      </c>
      <c r="J338" s="55">
        <v>1343.6</v>
      </c>
      <c r="K338" s="55">
        <v>929.1</v>
      </c>
      <c r="L338" s="55">
        <v>317.89999999999998</v>
      </c>
      <c r="M338" s="56">
        <v>43</v>
      </c>
      <c r="N338" s="108">
        <f t="shared" si="103"/>
        <v>12554320.920988239</v>
      </c>
      <c r="O338" s="63"/>
      <c r="P338" s="63">
        <v>5781379.3947980097</v>
      </c>
      <c r="Q338" s="63"/>
      <c r="R338" s="63">
        <v>973196.25</v>
      </c>
      <c r="S338" s="63">
        <v>5799745.2761902297</v>
      </c>
      <c r="T338" s="63"/>
      <c r="U338" s="63">
        <v>17559.785110085599</v>
      </c>
      <c r="V338" s="63">
        <v>1364.2830200640001</v>
      </c>
      <c r="W338" s="109">
        <v>2023</v>
      </c>
      <c r="X338" s="6" t="e">
        <v>#REF!</v>
      </c>
      <c r="Z338" s="62">
        <f>SUM(AA338:AO338)</f>
        <v>19642322.440000001</v>
      </c>
      <c r="AA338" s="55">
        <v>2821780.5180419399</v>
      </c>
      <c r="AB338" s="55">
        <v>1017993.6538753801</v>
      </c>
      <c r="AC338" s="55">
        <v>1063553.7540591599</v>
      </c>
      <c r="AD338" s="55">
        <v>665875.47655356</v>
      </c>
      <c r="AE338" s="55">
        <v>0</v>
      </c>
      <c r="AF338" s="55"/>
      <c r="AG338" s="55">
        <v>101809.49181312</v>
      </c>
      <c r="AH338" s="55">
        <v>0</v>
      </c>
      <c r="AI338" s="55">
        <v>5222681.4190824004</v>
      </c>
      <c r="AJ338" s="55">
        <v>683592.85135050002</v>
      </c>
      <c r="AK338" s="55">
        <v>2711658.3273179401</v>
      </c>
      <c r="AL338" s="55">
        <v>2924782.39109238</v>
      </c>
      <c r="AM338" s="55">
        <v>1855741.9672999999</v>
      </c>
      <c r="AN338" s="63">
        <v>196423.22440000001</v>
      </c>
      <c r="AO338" s="64">
        <v>376429.36511362001</v>
      </c>
      <c r="AP338" s="61">
        <f>+N338-'Приложение №2'!E338</f>
        <v>0</v>
      </c>
      <c r="AQ338" s="65">
        <v>805595.46</v>
      </c>
      <c r="AR338" s="3">
        <f>+(K338*10.5+L338*21)*12*0.85</f>
        <v>167600.79</v>
      </c>
      <c r="AS338" s="3">
        <f>+(K338*10.5+L338*21)*12*30</f>
        <v>5915322.0000000009</v>
      </c>
      <c r="AT338" s="6">
        <f t="shared" si="102"/>
        <v>-115576.72380977124</v>
      </c>
      <c r="AU338" s="6" t="e">
        <v>#REF!</v>
      </c>
      <c r="AV338" s="6" t="e">
        <v>#REF!</v>
      </c>
      <c r="AW338" s="110">
        <f t="shared" si="100"/>
        <v>16314796.345780578</v>
      </c>
      <c r="AX338" s="55">
        <v>3315321.42</v>
      </c>
      <c r="AY338" s="55">
        <v>1221730.31</v>
      </c>
      <c r="AZ338" s="55">
        <v>1207334.47612856</v>
      </c>
      <c r="BA338" s="55">
        <v>839833.16</v>
      </c>
      <c r="BB338" s="55">
        <v>0</v>
      </c>
      <c r="BC338" s="55"/>
      <c r="BD338" s="55">
        <v>115576.72380976701</v>
      </c>
      <c r="BE338" s="55"/>
      <c r="BF338" s="55">
        <v>5928706.7255004803</v>
      </c>
      <c r="BG338" s="55"/>
      <c r="BH338" s="55">
        <v>0</v>
      </c>
      <c r="BI338" s="55">
        <v>3320169.8093535299</v>
      </c>
      <c r="BJ338" s="55"/>
      <c r="BK338" s="63"/>
      <c r="BL338" s="111">
        <v>366123.72098823998</v>
      </c>
      <c r="BM338" s="110">
        <f t="shared" si="101"/>
        <v>12669897.644798009</v>
      </c>
      <c r="BN338" s="55">
        <v>2561264.63</v>
      </c>
      <c r="BO338" s="55">
        <v>1831960.83</v>
      </c>
      <c r="BP338" s="55">
        <v>1491883.2</v>
      </c>
      <c r="BQ338" s="55">
        <v>879028.5</v>
      </c>
      <c r="BR338" s="55">
        <v>0</v>
      </c>
      <c r="BS338" s="55"/>
      <c r="BT338" s="55">
        <v>115576.72380976701</v>
      </c>
      <c r="BU338" s="55"/>
      <c r="BV338" s="55">
        <v>4643142.2300000004</v>
      </c>
      <c r="BW338" s="55"/>
      <c r="BX338" s="55">
        <v>0</v>
      </c>
      <c r="BY338" s="55">
        <v>780917.81</v>
      </c>
      <c r="BZ338" s="55"/>
      <c r="CA338" s="63"/>
      <c r="CB338" s="64">
        <v>366123.72098823998</v>
      </c>
      <c r="CD338" s="3"/>
    </row>
    <row r="339" spans="1:83" x14ac:dyDescent="0.25">
      <c r="A339" s="137">
        <f t="shared" ref="A339:A370" si="104">+A338+1</f>
        <v>320</v>
      </c>
      <c r="B339" s="137">
        <f t="shared" si="96"/>
        <v>132</v>
      </c>
      <c r="C339" s="146" t="s">
        <v>218</v>
      </c>
      <c r="D339" s="146" t="s">
        <v>406</v>
      </c>
      <c r="E339" s="139">
        <v>1975</v>
      </c>
      <c r="F339" s="139">
        <v>1975</v>
      </c>
      <c r="G339" s="139" t="s">
        <v>64</v>
      </c>
      <c r="H339" s="54">
        <v>5</v>
      </c>
      <c r="I339" s="54">
        <v>5</v>
      </c>
      <c r="J339" s="55">
        <v>3670.4</v>
      </c>
      <c r="K339" s="55">
        <v>2958</v>
      </c>
      <c r="L339" s="55">
        <v>417.2</v>
      </c>
      <c r="M339" s="56">
        <v>116</v>
      </c>
      <c r="N339" s="112">
        <f t="shared" si="103"/>
        <v>14618718.460674999</v>
      </c>
      <c r="O339" s="55"/>
      <c r="P339" s="63"/>
      <c r="Q339" s="63"/>
      <c r="R339" s="63">
        <v>1002672.83</v>
      </c>
      <c r="S339" s="63">
        <v>13616045.630674999</v>
      </c>
      <c r="T339" s="63"/>
      <c r="U339" s="63">
        <v>17616.2217731655</v>
      </c>
      <c r="V339" s="63">
        <v>1375.2830200640001</v>
      </c>
      <c r="W339" s="109">
        <v>2023</v>
      </c>
      <c r="X339" s="6" t="e">
        <v>#REF!</v>
      </c>
      <c r="Z339" s="62">
        <f>SUM(AA339:AO339)</f>
        <v>63008068.420000002</v>
      </c>
      <c r="AA339" s="55">
        <v>10289263.558588</v>
      </c>
      <c r="AB339" s="55">
        <v>3743156.0614419999</v>
      </c>
      <c r="AC339" s="55">
        <v>3946478.5112620001</v>
      </c>
      <c r="AD339" s="55">
        <v>2525477.5150359999</v>
      </c>
      <c r="AE339" s="55">
        <v>0</v>
      </c>
      <c r="AF339" s="55"/>
      <c r="AG339" s="55">
        <v>347116.72035600001</v>
      </c>
      <c r="AH339" s="55">
        <v>0</v>
      </c>
      <c r="AI339" s="55">
        <v>19311206.205424</v>
      </c>
      <c r="AJ339" s="55">
        <v>0</v>
      </c>
      <c r="AK339" s="55">
        <v>10034931.104254</v>
      </c>
      <c r="AL339" s="55">
        <v>10831078.675998</v>
      </c>
      <c r="AM339" s="55">
        <v>572156.81999999995</v>
      </c>
      <c r="AN339" s="55">
        <v>72629</v>
      </c>
      <c r="AO339" s="64">
        <v>1334574.24764</v>
      </c>
      <c r="AP339" s="61">
        <f>+N339-'Приложение №2'!E339</f>
        <v>0</v>
      </c>
      <c r="AQ339" s="65">
        <v>1791489.77</v>
      </c>
      <c r="AR339" s="3">
        <f>+(K339*10.5+L339*21)*12*0.85</f>
        <v>406166.04</v>
      </c>
      <c r="AS339" s="3">
        <f>+(K339*10.5+L339*21)*12*30</f>
        <v>14335271.999999998</v>
      </c>
      <c r="AT339" s="6">
        <f t="shared" si="102"/>
        <v>-719226.36932499893</v>
      </c>
      <c r="AU339" s="6" t="e">
        <v>#REF!</v>
      </c>
      <c r="AV339" s="6" t="e">
        <v>#REF!</v>
      </c>
      <c r="AW339" s="110">
        <f t="shared" si="100"/>
        <v>52108784.005023412</v>
      </c>
      <c r="AX339" s="55">
        <v>10289258.887333</v>
      </c>
      <c r="AY339" s="55">
        <v>3743163.2397435</v>
      </c>
      <c r="AZ339" s="55">
        <v>3946494.7367781801</v>
      </c>
      <c r="BA339" s="55">
        <v>2525483.2241929299</v>
      </c>
      <c r="BB339" s="55">
        <v>0</v>
      </c>
      <c r="BC339" s="55"/>
      <c r="BD339" s="55">
        <v>347129.27930819202</v>
      </c>
      <c r="BE339" s="55">
        <v>0</v>
      </c>
      <c r="BF339" s="55">
        <v>19311208.020552099</v>
      </c>
      <c r="BG339" s="55">
        <v>0</v>
      </c>
      <c r="BH339" s="55"/>
      <c r="BI339" s="55">
        <v>10831087.386440501</v>
      </c>
      <c r="BJ339" s="55"/>
      <c r="BK339" s="55"/>
      <c r="BL339" s="111">
        <v>1114959.23067501</v>
      </c>
      <c r="BM339" s="110">
        <f t="shared" si="101"/>
        <v>52108784.005023412</v>
      </c>
      <c r="BN339" s="55">
        <v>10289258.887333</v>
      </c>
      <c r="BO339" s="55">
        <v>3743163.2397435</v>
      </c>
      <c r="BP339" s="55">
        <v>3946494.7367781801</v>
      </c>
      <c r="BQ339" s="55">
        <v>2525483.2241929299</v>
      </c>
      <c r="BR339" s="55">
        <v>0</v>
      </c>
      <c r="BS339" s="55"/>
      <c r="BT339" s="55">
        <v>347129.27930819202</v>
      </c>
      <c r="BU339" s="55">
        <v>0</v>
      </c>
      <c r="BV339" s="55">
        <v>19311208.020552099</v>
      </c>
      <c r="BW339" s="55">
        <v>0</v>
      </c>
      <c r="BX339" s="55"/>
      <c r="BY339" s="55">
        <v>10831087.386440501</v>
      </c>
      <c r="BZ339" s="55"/>
      <c r="CA339" s="55"/>
      <c r="CB339" s="64">
        <v>1114959.23067501</v>
      </c>
      <c r="CD339" s="6"/>
    </row>
    <row r="340" spans="1:83" x14ac:dyDescent="0.25">
      <c r="A340" s="137">
        <f t="shared" si="104"/>
        <v>321</v>
      </c>
      <c r="B340" s="137">
        <f t="shared" si="96"/>
        <v>133</v>
      </c>
      <c r="C340" s="146" t="s">
        <v>218</v>
      </c>
      <c r="D340" s="146" t="s">
        <v>407</v>
      </c>
      <c r="E340" s="139">
        <v>2002</v>
      </c>
      <c r="F340" s="139">
        <v>2002</v>
      </c>
      <c r="G340" s="139" t="s">
        <v>64</v>
      </c>
      <c r="H340" s="54">
        <v>9</v>
      </c>
      <c r="I340" s="54">
        <v>2</v>
      </c>
      <c r="J340" s="55">
        <v>5167.8999999999996</v>
      </c>
      <c r="K340" s="55">
        <v>4391.8999999999996</v>
      </c>
      <c r="L340" s="55">
        <v>0</v>
      </c>
      <c r="M340" s="56">
        <v>172</v>
      </c>
      <c r="N340" s="112">
        <f t="shared" si="103"/>
        <v>5525226.97307448</v>
      </c>
      <c r="O340" s="55"/>
      <c r="P340" s="63"/>
      <c r="Q340" s="63">
        <v>718272</v>
      </c>
      <c r="R340" s="63">
        <v>3024815.9802000001</v>
      </c>
      <c r="S340" s="63">
        <v>1782138.9928744801</v>
      </c>
      <c r="T340" s="63"/>
      <c r="U340" s="55">
        <v>1635.44707302079</v>
      </c>
      <c r="V340" s="55">
        <v>1635.44707302079</v>
      </c>
      <c r="W340" s="109">
        <v>2023</v>
      </c>
      <c r="X340" s="6" t="s">
        <v>408</v>
      </c>
      <c r="Z340" s="62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/>
      <c r="AM340" s="55"/>
      <c r="AN340" s="63"/>
      <c r="AO340" s="64"/>
      <c r="AP340" s="61">
        <f>+N340-'Приложение №2'!E340</f>
        <v>0</v>
      </c>
      <c r="AQ340" s="1">
        <v>2429458.7999999998</v>
      </c>
      <c r="AR340" s="3">
        <f>+(K340*13.29+L340*22.52)*12*0.85</f>
        <v>595357.18019999983</v>
      </c>
      <c r="AS340" s="3">
        <f>+(K340*13.29+L340*22.52)*12*30</f>
        <v>21012606.359999996</v>
      </c>
      <c r="AT340" s="6">
        <f t="shared" si="102"/>
        <v>-19230467.367125515</v>
      </c>
      <c r="AU340" s="6" t="e">
        <v>#REF!</v>
      </c>
      <c r="AV340" s="6" t="e">
        <v>#REF!</v>
      </c>
      <c r="AW340" s="62">
        <f t="shared" si="100"/>
        <v>7182719.9999999972</v>
      </c>
      <c r="AZ340" s="55"/>
      <c r="BB340" s="55"/>
      <c r="BC340" s="55"/>
      <c r="BD340" s="55"/>
      <c r="BE340" s="55">
        <v>6868490.3575085597</v>
      </c>
      <c r="BF340" s="55"/>
      <c r="BG340" s="55"/>
      <c r="BH340" s="55"/>
      <c r="BI340" s="55"/>
      <c r="BJ340" s="55">
        <v>140029.66941696001</v>
      </c>
      <c r="BK340" s="63">
        <v>24000</v>
      </c>
      <c r="BL340" s="111">
        <v>150199.97307447699</v>
      </c>
      <c r="BM340" s="62">
        <f t="shared" si="101"/>
        <v>7182719.9999999972</v>
      </c>
      <c r="BP340" s="55"/>
      <c r="BR340" s="55"/>
      <c r="BS340" s="55"/>
      <c r="BT340" s="55"/>
      <c r="BU340" s="55">
        <v>6868490.3575085597</v>
      </c>
      <c r="BV340" s="55"/>
      <c r="BW340" s="55"/>
      <c r="BX340" s="55"/>
      <c r="BY340" s="55"/>
      <c r="BZ340" s="55">
        <v>140029.66941696001</v>
      </c>
      <c r="CA340" s="63">
        <v>24000</v>
      </c>
      <c r="CB340" s="64">
        <v>150199.97307447699</v>
      </c>
      <c r="CD340" s="6"/>
    </row>
    <row r="341" spans="1:83" x14ac:dyDescent="0.25">
      <c r="A341" s="137">
        <f t="shared" si="104"/>
        <v>322</v>
      </c>
      <c r="B341" s="137">
        <f t="shared" si="96"/>
        <v>134</v>
      </c>
      <c r="C341" s="146" t="s">
        <v>218</v>
      </c>
      <c r="D341" s="146" t="s">
        <v>409</v>
      </c>
      <c r="E341" s="139">
        <v>1970</v>
      </c>
      <c r="F341" s="139">
        <v>1970</v>
      </c>
      <c r="G341" s="139" t="s">
        <v>64</v>
      </c>
      <c r="H341" s="54">
        <v>4</v>
      </c>
      <c r="I341" s="54">
        <v>4</v>
      </c>
      <c r="J341" s="55">
        <v>1365.1</v>
      </c>
      <c r="K341" s="55">
        <v>1195.1600000000001</v>
      </c>
      <c r="L341" s="55">
        <v>66.400000000000006</v>
      </c>
      <c r="M341" s="56">
        <v>42</v>
      </c>
      <c r="N341" s="112">
        <f t="shared" si="103"/>
        <v>4289797.6355283195</v>
      </c>
      <c r="O341" s="55"/>
      <c r="P341" s="63"/>
      <c r="Q341" s="63"/>
      <c r="R341" s="63">
        <v>558986.37600000005</v>
      </c>
      <c r="S341" s="63">
        <v>3730811.2595283198</v>
      </c>
      <c r="T341" s="63"/>
      <c r="U341" s="63">
        <v>4957.5323953059997</v>
      </c>
      <c r="V341" s="63">
        <v>1366.2830200640001</v>
      </c>
      <c r="W341" s="109">
        <v>2023</v>
      </c>
      <c r="X341" s="6" t="e">
        <v>#REF!</v>
      </c>
      <c r="Z341" s="62">
        <f t="shared" ref="Z341:Z357" si="105">SUM(AA341:AO341)</f>
        <v>20539765.109999999</v>
      </c>
      <c r="AA341" s="55">
        <v>3073518.7891098601</v>
      </c>
      <c r="AB341" s="55">
        <v>1108811.4764332201</v>
      </c>
      <c r="AC341" s="55">
        <v>1158436.1099060399</v>
      </c>
      <c r="AD341" s="55">
        <v>725279.93417964003</v>
      </c>
      <c r="AE341" s="55">
        <v>0</v>
      </c>
      <c r="AF341" s="55"/>
      <c r="AG341" s="55">
        <v>110892.17747328</v>
      </c>
      <c r="AH341" s="55">
        <v>0</v>
      </c>
      <c r="AI341" s="55">
        <v>5688610.2120455997</v>
      </c>
      <c r="AJ341" s="55">
        <v>0</v>
      </c>
      <c r="AK341" s="55">
        <v>2953572.3155538598</v>
      </c>
      <c r="AL341" s="55">
        <v>3185709.7232062202</v>
      </c>
      <c r="AM341" s="55">
        <v>1935807.5386999999</v>
      </c>
      <c r="AN341" s="63">
        <v>205397.65109999999</v>
      </c>
      <c r="AO341" s="64">
        <v>393729.18229228002</v>
      </c>
      <c r="AP341" s="61">
        <f>+N341-'Приложение №2'!E341</f>
        <v>0</v>
      </c>
      <c r="AQ341" s="1">
        <f>578197.03-161435.17</f>
        <v>416761.86</v>
      </c>
      <c r="AR341" s="3">
        <f>+(K341*10.5+L341*21)*12*0.85</f>
        <v>142224.516</v>
      </c>
      <c r="AS341" s="3">
        <f>+(K341*10.5+L341*21)*12*30-1010645.26</f>
        <v>4009043.54</v>
      </c>
      <c r="AT341" s="6">
        <f t="shared" si="102"/>
        <v>-278232.28047168022</v>
      </c>
      <c r="AU341" s="6" t="e">
        <v>#REF!</v>
      </c>
      <c r="AV341" s="6" t="e">
        <v>#REF!</v>
      </c>
      <c r="AW341" s="110">
        <f t="shared" si="100"/>
        <v>5925044.4175739186</v>
      </c>
      <c r="AX341" s="55"/>
      <c r="AY341" s="55"/>
      <c r="AZ341" s="55"/>
      <c r="BA341" s="55"/>
      <c r="BB341" s="55">
        <v>0</v>
      </c>
      <c r="BC341" s="55"/>
      <c r="BD341" s="55"/>
      <c r="BE341" s="55">
        <v>0</v>
      </c>
      <c r="BF341" s="55">
        <v>5688610.2120455997</v>
      </c>
      <c r="BG341" s="55">
        <v>0</v>
      </c>
      <c r="BH341" s="55"/>
      <c r="BI341" s="55"/>
      <c r="BJ341" s="55"/>
      <c r="BK341" s="63"/>
      <c r="BL341" s="111">
        <v>236434.205528319</v>
      </c>
      <c r="BM341" s="110">
        <f t="shared" si="101"/>
        <v>4289797.6355283195</v>
      </c>
      <c r="BN341" s="55"/>
      <c r="BO341" s="55"/>
      <c r="BP341" s="55"/>
      <c r="BQ341" s="55"/>
      <c r="BR341" s="55">
        <v>0</v>
      </c>
      <c r="BS341" s="55"/>
      <c r="BT341" s="55"/>
      <c r="BU341" s="55">
        <v>0</v>
      </c>
      <c r="BV341" s="55">
        <v>4053363.43</v>
      </c>
      <c r="BW341" s="55">
        <v>0</v>
      </c>
      <c r="BX341" s="55"/>
      <c r="BY341" s="55"/>
      <c r="BZ341" s="55"/>
      <c r="CA341" s="63"/>
      <c r="CB341" s="64">
        <v>236434.205528319</v>
      </c>
      <c r="CD341" s="6"/>
    </row>
    <row r="342" spans="1:83" x14ac:dyDescent="0.25">
      <c r="A342" s="137">
        <f t="shared" si="104"/>
        <v>323</v>
      </c>
      <c r="B342" s="137">
        <f t="shared" si="96"/>
        <v>135</v>
      </c>
      <c r="C342" s="138" t="s">
        <v>218</v>
      </c>
      <c r="D342" s="138" t="s">
        <v>410</v>
      </c>
      <c r="E342" s="139">
        <v>1965</v>
      </c>
      <c r="F342" s="139">
        <v>1965</v>
      </c>
      <c r="G342" s="139" t="s">
        <v>64</v>
      </c>
      <c r="H342" s="54">
        <v>3</v>
      </c>
      <c r="I342" s="54">
        <v>2</v>
      </c>
      <c r="J342" s="55">
        <v>987.3</v>
      </c>
      <c r="K342" s="55">
        <v>918.1</v>
      </c>
      <c r="L342" s="55">
        <v>68.099999999999994</v>
      </c>
      <c r="M342" s="56">
        <v>38</v>
      </c>
      <c r="N342" s="108">
        <f t="shared" si="103"/>
        <v>12533998.285881</v>
      </c>
      <c r="O342" s="63"/>
      <c r="P342" s="63">
        <v>9279245.7300000004</v>
      </c>
      <c r="Q342" s="63"/>
      <c r="R342" s="63">
        <v>516779.02</v>
      </c>
      <c r="S342" s="63">
        <v>2737973.5358810001</v>
      </c>
      <c r="T342" s="63"/>
      <c r="U342" s="63">
        <v>30592.073124501701</v>
      </c>
      <c r="V342" s="63">
        <v>1367.2830200640001</v>
      </c>
      <c r="W342" s="109">
        <v>2023</v>
      </c>
      <c r="X342" s="6" t="e">
        <v>#REF!</v>
      </c>
      <c r="Z342" s="62">
        <f t="shared" si="105"/>
        <v>36579168.819999993</v>
      </c>
      <c r="AA342" s="55">
        <v>3296586.4242183599</v>
      </c>
      <c r="AB342" s="55">
        <v>2005923.7262883</v>
      </c>
      <c r="AC342" s="55">
        <v>945220.05597012001</v>
      </c>
      <c r="AD342" s="55">
        <v>805515.18886355998</v>
      </c>
      <c r="AE342" s="55">
        <v>0</v>
      </c>
      <c r="AF342" s="55"/>
      <c r="AG342" s="55">
        <v>312478.894455</v>
      </c>
      <c r="AH342" s="55">
        <v>0</v>
      </c>
      <c r="AI342" s="55">
        <v>9536457.4951715991</v>
      </c>
      <c r="AJ342" s="55">
        <v>0</v>
      </c>
      <c r="AK342" s="55">
        <v>7797629.0571874799</v>
      </c>
      <c r="AL342" s="55">
        <v>7337973.3202931397</v>
      </c>
      <c r="AM342" s="55">
        <v>3474991.5172000001</v>
      </c>
      <c r="AN342" s="63">
        <v>365791.68819999998</v>
      </c>
      <c r="AO342" s="64">
        <v>700601.45215243998</v>
      </c>
      <c r="AP342" s="61">
        <f>+N342-'Приложение №2'!E342</f>
        <v>0</v>
      </c>
      <c r="AQ342" s="65">
        <v>403863.49</v>
      </c>
      <c r="AR342" s="3">
        <f>+(K342*10.5+L342*21)*12*0.85</f>
        <v>112915.53000000001</v>
      </c>
      <c r="AS342" s="3">
        <f>+(K342*10.5+L342*21)*12*30</f>
        <v>3985254.0000000005</v>
      </c>
      <c r="AT342" s="6">
        <f t="shared" si="102"/>
        <v>-1247280.4641190004</v>
      </c>
      <c r="AU342" s="6" t="e">
        <v>#REF!</v>
      </c>
      <c r="AV342" s="6" t="e">
        <v>#REF!</v>
      </c>
      <c r="AW342" s="110">
        <f t="shared" si="100"/>
        <v>28086582.335604999</v>
      </c>
      <c r="AX342" s="55"/>
      <c r="AY342" s="55"/>
      <c r="AZ342" s="55"/>
      <c r="BA342" s="55"/>
      <c r="BB342" s="55"/>
      <c r="BC342" s="55"/>
      <c r="BD342" s="55"/>
      <c r="BE342" s="55">
        <v>0</v>
      </c>
      <c r="BF342" s="55">
        <v>10499304.299652001</v>
      </c>
      <c r="BG342" s="55">
        <v>0</v>
      </c>
      <c r="BH342" s="55">
        <v>8671328.1752160005</v>
      </c>
      <c r="BI342" s="55">
        <v>8142382.5448559998</v>
      </c>
      <c r="BJ342" s="55"/>
      <c r="BK342" s="63"/>
      <c r="BL342" s="111">
        <v>773567.31588100002</v>
      </c>
      <c r="BM342" s="110">
        <f t="shared" si="101"/>
        <v>21205326.461097002</v>
      </c>
      <c r="BN342" s="55"/>
      <c r="BO342" s="55"/>
      <c r="BP342" s="55"/>
      <c r="BQ342" s="55"/>
      <c r="BR342" s="55"/>
      <c r="BS342" s="55"/>
      <c r="BT342" s="55"/>
      <c r="BU342" s="55">
        <v>0</v>
      </c>
      <c r="BV342" s="55">
        <v>10962284.210000001</v>
      </c>
      <c r="BW342" s="55">
        <v>0</v>
      </c>
      <c r="BX342" s="55">
        <v>8671328.1752160005</v>
      </c>
      <c r="BY342" s="55">
        <v>798146.76</v>
      </c>
      <c r="BZ342" s="55"/>
      <c r="CA342" s="63"/>
      <c r="CB342" s="64">
        <v>773567.31588100002</v>
      </c>
      <c r="CD342" s="6"/>
    </row>
    <row r="343" spans="1:83" x14ac:dyDescent="0.25">
      <c r="A343" s="137">
        <f t="shared" si="104"/>
        <v>324</v>
      </c>
      <c r="B343" s="137">
        <f t="shared" si="96"/>
        <v>136</v>
      </c>
      <c r="C343" s="146" t="s">
        <v>218</v>
      </c>
      <c r="D343" s="146" t="s">
        <v>411</v>
      </c>
      <c r="E343" s="139">
        <v>1964</v>
      </c>
      <c r="F343" s="139">
        <v>1964</v>
      </c>
      <c r="G343" s="139" t="s">
        <v>64</v>
      </c>
      <c r="H343" s="54">
        <v>3</v>
      </c>
      <c r="I343" s="54">
        <v>1</v>
      </c>
      <c r="J343" s="55">
        <v>998.5</v>
      </c>
      <c r="K343" s="55">
        <v>928.6</v>
      </c>
      <c r="L343" s="55">
        <v>69.900000000000006</v>
      </c>
      <c r="M343" s="56">
        <v>43</v>
      </c>
      <c r="N343" s="112">
        <f t="shared" si="103"/>
        <v>6210449.0085999602</v>
      </c>
      <c r="O343" s="55"/>
      <c r="P343" s="63"/>
      <c r="Q343" s="63"/>
      <c r="R343" s="63">
        <v>597721.75</v>
      </c>
      <c r="S343" s="63">
        <v>5612727.2585999602</v>
      </c>
      <c r="T343" s="63"/>
      <c r="U343" s="63">
        <v>30578.200032160199</v>
      </c>
      <c r="V343" s="63">
        <v>1368.2830200640001</v>
      </c>
      <c r="W343" s="109">
        <v>2023</v>
      </c>
      <c r="X343" s="6" t="e">
        <v>#REF!</v>
      </c>
      <c r="Z343" s="62">
        <f t="shared" si="105"/>
        <v>36927435.980000004</v>
      </c>
      <c r="AA343" s="55">
        <v>3327972.9418462799</v>
      </c>
      <c r="AB343" s="55">
        <v>2025021.9533430601</v>
      </c>
      <c r="AC343" s="55">
        <v>954219.41462316003</v>
      </c>
      <c r="AD343" s="55">
        <v>813184.4343966</v>
      </c>
      <c r="AE343" s="55">
        <v>0</v>
      </c>
      <c r="AF343" s="55"/>
      <c r="AG343" s="55">
        <v>315453.97193603998</v>
      </c>
      <c r="AH343" s="55">
        <v>0</v>
      </c>
      <c r="AI343" s="55">
        <v>9627253.2988380007</v>
      </c>
      <c r="AJ343" s="55">
        <v>0</v>
      </c>
      <c r="AK343" s="55">
        <v>7871869.6290435595</v>
      </c>
      <c r="AL343" s="55">
        <v>7407837.5399091002</v>
      </c>
      <c r="AM343" s="55">
        <v>3508076.6172000002</v>
      </c>
      <c r="AN343" s="63">
        <v>369274.35979999998</v>
      </c>
      <c r="AO343" s="64">
        <v>707271.81906420004</v>
      </c>
      <c r="AP343" s="61">
        <f>+N343-'Приложение №2'!E343</f>
        <v>0</v>
      </c>
      <c r="AQ343" s="65">
        <v>483296.11</v>
      </c>
      <c r="AR343" s="3">
        <f>+(K343*10.5+L343*21)*12*0.85</f>
        <v>114425.64000000001</v>
      </c>
      <c r="AS343" s="3">
        <f>+(K343*10.5+L343*21)*12*30</f>
        <v>4038552.0000000009</v>
      </c>
      <c r="AT343" s="6">
        <f t="shared" si="102"/>
        <v>1574175.2585999593</v>
      </c>
      <c r="AU343" s="6" t="e">
        <v>#REF!</v>
      </c>
      <c r="AV343" s="6" t="e">
        <v>#REF!</v>
      </c>
      <c r="AW343" s="110">
        <f t="shared" si="100"/>
        <v>28394916.549863961</v>
      </c>
      <c r="AX343" s="55"/>
      <c r="AY343" s="55"/>
      <c r="AZ343" s="55"/>
      <c r="BA343" s="55"/>
      <c r="BB343" s="55"/>
      <c r="BC343" s="55"/>
      <c r="BD343" s="55"/>
      <c r="BE343" s="55">
        <v>0</v>
      </c>
      <c r="BF343" s="55">
        <v>10614144.820062</v>
      </c>
      <c r="BG343" s="55">
        <v>0</v>
      </c>
      <c r="BH343" s="55">
        <v>8769141.9461519998</v>
      </c>
      <c r="BI343" s="55">
        <v>8229942.0850499999</v>
      </c>
      <c r="BJ343" s="55"/>
      <c r="BK343" s="63"/>
      <c r="BL343" s="111">
        <v>781687.69859995996</v>
      </c>
      <c r="BM343" s="110">
        <f t="shared" si="101"/>
        <v>21006405.15481396</v>
      </c>
      <c r="BN343" s="55"/>
      <c r="BO343" s="55"/>
      <c r="BP343" s="55"/>
      <c r="BQ343" s="55"/>
      <c r="BR343" s="55"/>
      <c r="BS343" s="55"/>
      <c r="BT343" s="55"/>
      <c r="BU343" s="55">
        <v>0</v>
      </c>
      <c r="BV343" s="55">
        <v>10614144.820062</v>
      </c>
      <c r="BW343" s="55">
        <v>0</v>
      </c>
      <c r="BX343" s="55">
        <v>8769141.9461519998</v>
      </c>
      <c r="BY343" s="149">
        <v>841430.69</v>
      </c>
      <c r="BZ343" s="55"/>
      <c r="CA343" s="63"/>
      <c r="CB343" s="64">
        <v>781687.69859995996</v>
      </c>
      <c r="CD343" s="6"/>
    </row>
    <row r="344" spans="1:83" x14ac:dyDescent="0.25">
      <c r="A344" s="137">
        <f t="shared" si="104"/>
        <v>325</v>
      </c>
      <c r="B344" s="137">
        <f t="shared" si="96"/>
        <v>137</v>
      </c>
      <c r="C344" s="146" t="s">
        <v>218</v>
      </c>
      <c r="D344" s="146" t="s">
        <v>412</v>
      </c>
      <c r="E344" s="139">
        <v>1976</v>
      </c>
      <c r="F344" s="139">
        <v>1976</v>
      </c>
      <c r="G344" s="139" t="s">
        <v>64</v>
      </c>
      <c r="H344" s="54">
        <v>5</v>
      </c>
      <c r="I344" s="54">
        <v>5</v>
      </c>
      <c r="J344" s="55">
        <v>3760.4</v>
      </c>
      <c r="K344" s="55">
        <v>2861.4</v>
      </c>
      <c r="L344" s="55">
        <v>798.2</v>
      </c>
      <c r="M344" s="56">
        <v>103</v>
      </c>
      <c r="N344" s="112">
        <f t="shared" si="103"/>
        <v>2486145.49402032</v>
      </c>
      <c r="O344" s="55"/>
      <c r="P344" s="63"/>
      <c r="Q344" s="63"/>
      <c r="R344" s="63">
        <v>294555.73</v>
      </c>
      <c r="S344" s="63">
        <v>2191589.76402032</v>
      </c>
      <c r="T344" s="63"/>
      <c r="U344" s="63">
        <v>12570.0152707284</v>
      </c>
      <c r="V344" s="63">
        <v>1376.2830200640001</v>
      </c>
      <c r="W344" s="109">
        <v>2023</v>
      </c>
      <c r="X344" s="6" t="e">
        <v>#REF!</v>
      </c>
      <c r="Z344" s="62">
        <f t="shared" si="105"/>
        <v>64553057.020000003</v>
      </c>
      <c r="AA344" s="55">
        <v>10537075.366257999</v>
      </c>
      <c r="AB344" s="55">
        <v>3835013.4758319999</v>
      </c>
      <c r="AC344" s="55">
        <v>4042843.3866099999</v>
      </c>
      <c r="AD344" s="55">
        <v>2587058.6111860001</v>
      </c>
      <c r="AE344" s="55">
        <v>0</v>
      </c>
      <c r="AF344" s="55"/>
      <c r="AG344" s="55">
        <v>355628.19171599997</v>
      </c>
      <c r="AH344" s="55">
        <v>0</v>
      </c>
      <c r="AI344" s="55">
        <v>19695633.831831999</v>
      </c>
      <c r="AJ344" s="55">
        <v>0</v>
      </c>
      <c r="AK344" s="55">
        <v>10278986.262243999</v>
      </c>
      <c r="AL344" s="55">
        <v>11095009.757789999</v>
      </c>
      <c r="AM344" s="55">
        <v>686396.29</v>
      </c>
      <c r="AN344" s="55">
        <v>74254.350000000006</v>
      </c>
      <c r="AO344" s="64">
        <v>1365157.4965319999</v>
      </c>
      <c r="AP344" s="61">
        <f>+N344-'Приложение №2'!E344</f>
        <v>0</v>
      </c>
      <c r="AQ344" s="65">
        <v>1678565.67</v>
      </c>
      <c r="AR344" s="3">
        <f>+(K344*10.5+L344*21)*12*0.85</f>
        <v>477430.38</v>
      </c>
      <c r="AS344" s="3">
        <f>+(K344*10.5+L344*21)*12*30</f>
        <v>16850484</v>
      </c>
      <c r="AT344" s="6">
        <f t="shared" si="102"/>
        <v>-14658894.23597968</v>
      </c>
      <c r="AU344" s="6" t="e">
        <v>#REF!</v>
      </c>
      <c r="AV344" s="6" t="e">
        <v>#REF!</v>
      </c>
      <c r="AW344" s="110">
        <f t="shared" si="100"/>
        <v>35967841.69566232</v>
      </c>
      <c r="AX344" s="55"/>
      <c r="AY344" s="55"/>
      <c r="AZ344" s="55">
        <v>4042843.3866099999</v>
      </c>
      <c r="BA344" s="55"/>
      <c r="BB344" s="55">
        <v>0</v>
      </c>
      <c r="BC344" s="55"/>
      <c r="BD344" s="55"/>
      <c r="BE344" s="55">
        <v>0</v>
      </c>
      <c r="BF344" s="55">
        <v>19695633.831831999</v>
      </c>
      <c r="BG344" s="55"/>
      <c r="BH344" s="55"/>
      <c r="BI344" s="55">
        <v>11089164.4332</v>
      </c>
      <c r="BJ344" s="55"/>
      <c r="BK344" s="55"/>
      <c r="BL344" s="111">
        <v>1140200.0440203201</v>
      </c>
      <c r="BM344" s="110">
        <f t="shared" si="101"/>
        <v>35967841.69566232</v>
      </c>
      <c r="BN344" s="55"/>
      <c r="BO344" s="55"/>
      <c r="BP344" s="55">
        <v>4042843.3866099999</v>
      </c>
      <c r="BQ344" s="55"/>
      <c r="BR344" s="55">
        <v>0</v>
      </c>
      <c r="BS344" s="55"/>
      <c r="BT344" s="55"/>
      <c r="BU344" s="55">
        <v>0</v>
      </c>
      <c r="BV344" s="55">
        <v>19695633.831831999</v>
      </c>
      <c r="BW344" s="55"/>
      <c r="BX344" s="55"/>
      <c r="BY344" s="55">
        <v>11089164.4332</v>
      </c>
      <c r="BZ344" s="55"/>
      <c r="CA344" s="55"/>
      <c r="CB344" s="64">
        <v>1140200.0440203201</v>
      </c>
      <c r="CD344" s="6"/>
    </row>
    <row r="345" spans="1:83" x14ac:dyDescent="0.25">
      <c r="A345" s="137">
        <f t="shared" si="104"/>
        <v>326</v>
      </c>
      <c r="B345" s="137">
        <f t="shared" si="96"/>
        <v>138</v>
      </c>
      <c r="C345" s="138" t="s">
        <v>218</v>
      </c>
      <c r="D345" s="138" t="s">
        <v>413</v>
      </c>
      <c r="E345" s="139">
        <v>1967</v>
      </c>
      <c r="F345" s="139">
        <v>1967</v>
      </c>
      <c r="G345" s="139" t="s">
        <v>64</v>
      </c>
      <c r="H345" s="54">
        <v>3</v>
      </c>
      <c r="I345" s="54">
        <v>2</v>
      </c>
      <c r="J345" s="55">
        <v>994.3</v>
      </c>
      <c r="K345" s="55">
        <v>775.2</v>
      </c>
      <c r="L345" s="55">
        <v>168.7</v>
      </c>
      <c r="M345" s="56">
        <v>26</v>
      </c>
      <c r="N345" s="108">
        <f t="shared" si="103"/>
        <v>17815269.2086333</v>
      </c>
      <c r="O345" s="63"/>
      <c r="P345" s="63">
        <v>6263171.3899999997</v>
      </c>
      <c r="Q345" s="63"/>
      <c r="R345" s="63">
        <v>283126.34999999998</v>
      </c>
      <c r="S345" s="63">
        <v>11268971.4686333</v>
      </c>
      <c r="T345" s="63"/>
      <c r="U345" s="55">
        <v>20448.435422200801</v>
      </c>
      <c r="V345" s="55">
        <v>20448.435422200801</v>
      </c>
      <c r="W345" s="109">
        <v>2023</v>
      </c>
      <c r="X345" s="6" t="e">
        <v>#REF!</v>
      </c>
      <c r="Z345" s="62">
        <f t="shared" si="105"/>
        <v>34167233.340000004</v>
      </c>
      <c r="AA345" s="55">
        <v>3079218.0664572599</v>
      </c>
      <c r="AB345" s="55">
        <v>1873658.3176915799</v>
      </c>
      <c r="AC345" s="55">
        <v>882894.70095414005</v>
      </c>
      <c r="AD345" s="55">
        <v>752401.61084172002</v>
      </c>
      <c r="AE345" s="55">
        <v>0</v>
      </c>
      <c r="AF345" s="55"/>
      <c r="AG345" s="55">
        <v>291874.83960432</v>
      </c>
      <c r="AH345" s="55">
        <v>0</v>
      </c>
      <c r="AI345" s="55">
        <v>8907648.2312202007</v>
      </c>
      <c r="AJ345" s="55">
        <v>0</v>
      </c>
      <c r="AK345" s="55">
        <v>7283473.6350293402</v>
      </c>
      <c r="AL345" s="55">
        <v>6854126.4005717998</v>
      </c>
      <c r="AM345" s="55">
        <v>3245859.594</v>
      </c>
      <c r="AN345" s="63">
        <v>341672.3334</v>
      </c>
      <c r="AO345" s="64">
        <v>654405.61022964003</v>
      </c>
      <c r="AP345" s="61">
        <f>+N345-'Приложение №2'!E345</f>
        <v>0</v>
      </c>
      <c r="AQ345" s="1">
        <v>373291.08</v>
      </c>
      <c r="AR345" s="3">
        <f>+(K345*10+L345*20)*12*0.85</f>
        <v>113485.2</v>
      </c>
      <c r="AS345" s="3">
        <f>+(K345*10+L345*20)*12*30</f>
        <v>4005360</v>
      </c>
      <c r="AT345" s="6">
        <f t="shared" si="102"/>
        <v>7263611.4686332997</v>
      </c>
      <c r="AU345" s="6" t="e">
        <v>#REF!</v>
      </c>
      <c r="AV345" s="6" t="e">
        <v>#REF!</v>
      </c>
      <c r="AW345" s="62">
        <f t="shared" si="100"/>
        <v>19301278.195015322</v>
      </c>
      <c r="AX345" s="55"/>
      <c r="AY345" s="55">
        <v>450967.71</v>
      </c>
      <c r="AZ345" s="55"/>
      <c r="BA345" s="55">
        <v>341058.14</v>
      </c>
      <c r="BB345" s="55">
        <v>0</v>
      </c>
      <c r="BC345" s="55"/>
      <c r="BD345" s="55"/>
      <c r="BE345" s="55">
        <v>0</v>
      </c>
      <c r="BF345" s="55">
        <v>9849605.5063979998</v>
      </c>
      <c r="BG345" s="55">
        <v>0</v>
      </c>
      <c r="BH345" s="55">
        <v>8095399.4499840001</v>
      </c>
      <c r="BI345" s="55">
        <v>283215.94</v>
      </c>
      <c r="BJ345" s="55"/>
      <c r="BK345" s="63"/>
      <c r="BL345" s="111">
        <v>281031.44863331999</v>
      </c>
      <c r="BM345" s="62">
        <f t="shared" si="101"/>
        <v>18238808.658617321</v>
      </c>
      <c r="BN345" s="55"/>
      <c r="BO345" s="55">
        <v>450967.71</v>
      </c>
      <c r="BP345" s="55"/>
      <c r="BQ345" s="55">
        <v>341058.14</v>
      </c>
      <c r="BR345" s="55">
        <v>0</v>
      </c>
      <c r="BS345" s="55"/>
      <c r="BT345" s="55"/>
      <c r="BU345" s="55">
        <v>0</v>
      </c>
      <c r="BV345" s="55">
        <v>8787135.9700000007</v>
      </c>
      <c r="BW345" s="55">
        <v>0</v>
      </c>
      <c r="BX345" s="55">
        <v>8095399.4499840001</v>
      </c>
      <c r="BY345" s="55">
        <v>283215.94</v>
      </c>
      <c r="BZ345" s="55"/>
      <c r="CA345" s="63"/>
      <c r="CB345" s="64">
        <v>281031.44863331999</v>
      </c>
      <c r="CD345" s="6"/>
    </row>
    <row r="346" spans="1:83" x14ac:dyDescent="0.25">
      <c r="A346" s="137">
        <f t="shared" si="104"/>
        <v>327</v>
      </c>
      <c r="B346" s="137">
        <f t="shared" ref="B346:B379" si="106">+B345+1</f>
        <v>139</v>
      </c>
      <c r="C346" s="138" t="s">
        <v>218</v>
      </c>
      <c r="D346" s="138" t="s">
        <v>414</v>
      </c>
      <c r="E346" s="139">
        <v>1970</v>
      </c>
      <c r="F346" s="139">
        <v>1970</v>
      </c>
      <c r="G346" s="139" t="s">
        <v>64</v>
      </c>
      <c r="H346" s="54">
        <v>3</v>
      </c>
      <c r="I346" s="54">
        <v>3</v>
      </c>
      <c r="J346" s="55">
        <v>1002.4</v>
      </c>
      <c r="K346" s="55">
        <v>930.4</v>
      </c>
      <c r="L346" s="55">
        <v>71.8</v>
      </c>
      <c r="M346" s="56">
        <v>40</v>
      </c>
      <c r="N346" s="108">
        <f t="shared" si="103"/>
        <v>13336952.836464219</v>
      </c>
      <c r="O346" s="63"/>
      <c r="P346" s="63">
        <v>7402149.0800000001</v>
      </c>
      <c r="Q346" s="63"/>
      <c r="R346" s="63">
        <v>618572.46</v>
      </c>
      <c r="S346" s="63">
        <v>5316231.2964642197</v>
      </c>
      <c r="T346" s="63"/>
      <c r="U346" s="63">
        <v>30704.5547820676</v>
      </c>
      <c r="V346" s="63">
        <v>1370.2830200640001</v>
      </c>
      <c r="W346" s="109">
        <v>2023</v>
      </c>
      <c r="X346" s="6" t="e">
        <v>#REF!</v>
      </c>
      <c r="Z346" s="62">
        <f t="shared" si="105"/>
        <v>37138619.279999994</v>
      </c>
      <c r="AA346" s="55">
        <v>3347005.1922761998</v>
      </c>
      <c r="AB346" s="55">
        <v>2036602.79352348</v>
      </c>
      <c r="AC346" s="55">
        <v>959676.47271510004</v>
      </c>
      <c r="AD346" s="55">
        <v>817834.93398936</v>
      </c>
      <c r="AE346" s="55">
        <v>0</v>
      </c>
      <c r="AF346" s="55"/>
      <c r="AG346" s="55">
        <v>317258.01868739998</v>
      </c>
      <c r="AH346" s="55">
        <v>0</v>
      </c>
      <c r="AI346" s="55">
        <v>9682310.3290956002</v>
      </c>
      <c r="AJ346" s="55">
        <v>0</v>
      </c>
      <c r="AK346" s="55">
        <v>7916887.8477771599</v>
      </c>
      <c r="AL346" s="55">
        <v>7450202.0227714796</v>
      </c>
      <c r="AM346" s="55">
        <v>3528138.8599</v>
      </c>
      <c r="AN346" s="63">
        <v>371386.19280000002</v>
      </c>
      <c r="AO346" s="64">
        <v>711316.61646421999</v>
      </c>
      <c r="AP346" s="61">
        <f>+N346-'Приложение №2'!E346</f>
        <v>0</v>
      </c>
      <c r="AQ346" s="65">
        <v>503547.06</v>
      </c>
      <c r="AR346" s="3">
        <f>+(K346*10.5+L346*21)*12*0.85</f>
        <v>115025.39999999997</v>
      </c>
      <c r="AS346" s="3">
        <f>+(K346*10.5+L346*21)*12*30</f>
        <v>4059719.9999999991</v>
      </c>
      <c r="AT346" s="6">
        <f t="shared" si="102"/>
        <v>1256511.2964642206</v>
      </c>
      <c r="AU346" s="6" t="e">
        <v>#REF!</v>
      </c>
      <c r="AV346" s="6" t="e">
        <v>#REF!</v>
      </c>
      <c r="AW346" s="110">
        <f t="shared" si="100"/>
        <v>26562361.188331299</v>
      </c>
      <c r="AX346" s="55"/>
      <c r="AY346" s="55"/>
      <c r="AZ346" s="55"/>
      <c r="BA346" s="55"/>
      <c r="BB346" s="55">
        <v>0</v>
      </c>
      <c r="BC346" s="55"/>
      <c r="BD346" s="55"/>
      <c r="BE346" s="55">
        <v>0</v>
      </c>
      <c r="BF346" s="55">
        <v>9682310.3290956002</v>
      </c>
      <c r="BG346" s="55">
        <v>0</v>
      </c>
      <c r="BH346" s="55">
        <v>8718532.2200000007</v>
      </c>
      <c r="BI346" s="55">
        <v>7450202.0227714796</v>
      </c>
      <c r="BJ346" s="55"/>
      <c r="BK346" s="63"/>
      <c r="BL346" s="111">
        <v>711316.61646421999</v>
      </c>
      <c r="BM346" s="110">
        <f t="shared" si="101"/>
        <v>22055485.056464221</v>
      </c>
      <c r="BN346" s="55"/>
      <c r="BO346" s="55"/>
      <c r="BP346" s="55"/>
      <c r="BQ346" s="55"/>
      <c r="BR346" s="55">
        <v>0</v>
      </c>
      <c r="BS346" s="55"/>
      <c r="BT346" s="55"/>
      <c r="BU346" s="55">
        <v>0</v>
      </c>
      <c r="BV346" s="55">
        <v>11687466.91</v>
      </c>
      <c r="BW346" s="55">
        <v>0</v>
      </c>
      <c r="BX346" s="55">
        <v>8718532.2200000007</v>
      </c>
      <c r="BY346" s="55">
        <v>938169.31</v>
      </c>
      <c r="BZ346" s="55"/>
      <c r="CA346" s="63"/>
      <c r="CB346" s="64">
        <v>711316.61646421999</v>
      </c>
      <c r="CD346" s="3"/>
    </row>
    <row r="347" spans="1:83" x14ac:dyDescent="0.25">
      <c r="A347" s="137">
        <f t="shared" si="104"/>
        <v>328</v>
      </c>
      <c r="B347" s="137">
        <f t="shared" si="106"/>
        <v>140</v>
      </c>
      <c r="C347" s="138" t="s">
        <v>218</v>
      </c>
      <c r="D347" s="138" t="s">
        <v>415</v>
      </c>
      <c r="E347" s="139">
        <v>1975</v>
      </c>
      <c r="F347" s="139">
        <v>1975</v>
      </c>
      <c r="G347" s="139" t="s">
        <v>64</v>
      </c>
      <c r="H347" s="54">
        <v>4</v>
      </c>
      <c r="I347" s="54">
        <v>1</v>
      </c>
      <c r="J347" s="55">
        <v>1425.2</v>
      </c>
      <c r="K347" s="55">
        <v>1131.8</v>
      </c>
      <c r="L347" s="55">
        <v>129.9</v>
      </c>
      <c r="M347" s="56">
        <v>56</v>
      </c>
      <c r="N347" s="108">
        <f t="shared" si="103"/>
        <v>15375973.255012941</v>
      </c>
      <c r="O347" s="63"/>
      <c r="P347" s="63">
        <v>8246837.0284967097</v>
      </c>
      <c r="Q347" s="63"/>
      <c r="R347" s="63">
        <v>873157.21</v>
      </c>
      <c r="S347" s="63">
        <v>6255979.0165162301</v>
      </c>
      <c r="T347" s="63"/>
      <c r="U347" s="63">
        <v>12907.6391731851</v>
      </c>
      <c r="V347" s="63">
        <v>1379.2830200640001</v>
      </c>
      <c r="W347" s="109">
        <v>2023</v>
      </c>
      <c r="X347" s="6" t="e">
        <v>#REF!</v>
      </c>
      <c r="Z347" s="62">
        <f t="shared" si="105"/>
        <v>23375883.600000001</v>
      </c>
      <c r="AA347" s="55">
        <v>3639720.4511279999</v>
      </c>
      <c r="AB347" s="55">
        <v>1310198.586234</v>
      </c>
      <c r="AC347" s="55">
        <v>1393886.8533300001</v>
      </c>
      <c r="AD347" s="55">
        <v>881139.78326399997</v>
      </c>
      <c r="AE347" s="55">
        <v>0</v>
      </c>
      <c r="AF347" s="55"/>
      <c r="AG347" s="55">
        <v>123633.848142</v>
      </c>
      <c r="AH347" s="55">
        <v>0</v>
      </c>
      <c r="AI347" s="55">
        <v>6816774.9733499996</v>
      </c>
      <c r="AJ347" s="55">
        <v>840779.69661600003</v>
      </c>
      <c r="AK347" s="55">
        <v>3546979.28265</v>
      </c>
      <c r="AL347" s="55">
        <v>3815904.5950199999</v>
      </c>
      <c r="AM347" s="55">
        <v>455993.49</v>
      </c>
      <c r="AN347" s="55">
        <v>61706.92</v>
      </c>
      <c r="AO347" s="64">
        <v>489165.12026599998</v>
      </c>
      <c r="AP347" s="61">
        <f>+N347-'Приложение №2'!E347</f>
        <v>0</v>
      </c>
      <c r="AQ347" s="65">
        <v>575076.49</v>
      </c>
      <c r="AR347" s="3">
        <f>+(K347*10.5+L347*21)*12*0.85</f>
        <v>149040.35999999999</v>
      </c>
      <c r="AS347" s="3">
        <f>+(K347*10.5+L347*21)*12*30</f>
        <v>5260247.9999999991</v>
      </c>
      <c r="AT347" s="6">
        <f t="shared" si="102"/>
        <v>995731.016516231</v>
      </c>
      <c r="AU347" s="6" t="e">
        <v>#REF!</v>
      </c>
      <c r="AV347" s="6" t="e">
        <v>#REF!</v>
      </c>
      <c r="AW347" s="110">
        <f t="shared" si="100"/>
        <v>14608866.01621094</v>
      </c>
      <c r="AX347" s="55"/>
      <c r="AY347" s="55">
        <v>1310198.586234</v>
      </c>
      <c r="AZ347" s="55">
        <v>1393886.8533300001</v>
      </c>
      <c r="BA347" s="55">
        <v>881139.78326399997</v>
      </c>
      <c r="BB347" s="55">
        <v>0</v>
      </c>
      <c r="BC347" s="55"/>
      <c r="BD347" s="55"/>
      <c r="BE347" s="55">
        <v>0</v>
      </c>
      <c r="BF347" s="55">
        <v>6816774.9733499996</v>
      </c>
      <c r="BG347" s="55"/>
      <c r="BH347" s="55"/>
      <c r="BI347" s="55">
        <v>3815904.5950199999</v>
      </c>
      <c r="BJ347" s="55"/>
      <c r="BK347" s="55"/>
      <c r="BL347" s="111">
        <v>390961.22501294001</v>
      </c>
      <c r="BM347" s="110">
        <f t="shared" si="101"/>
        <v>15499607.103154941</v>
      </c>
      <c r="BN347" s="55">
        <v>3850862.68</v>
      </c>
      <c r="BO347" s="55">
        <v>1527090.45</v>
      </c>
      <c r="BP347" s="55">
        <v>1632419.86</v>
      </c>
      <c r="BQ347" s="55">
        <v>1086100.56</v>
      </c>
      <c r="BR347" s="55">
        <v>0</v>
      </c>
      <c r="BS347" s="55"/>
      <c r="BT347" s="55">
        <v>123633.848142</v>
      </c>
      <c r="BU347" s="55">
        <v>0</v>
      </c>
      <c r="BV347" s="55">
        <v>5722546.3200000003</v>
      </c>
      <c r="BW347" s="55"/>
      <c r="BX347" s="55"/>
      <c r="BY347" s="55">
        <v>1165992.1599999999</v>
      </c>
      <c r="BZ347" s="55"/>
      <c r="CA347" s="55"/>
      <c r="CB347" s="64">
        <v>390961.22501294001</v>
      </c>
      <c r="CD347" s="6"/>
    </row>
    <row r="348" spans="1:83" x14ac:dyDescent="0.25">
      <c r="A348" s="137">
        <f t="shared" si="104"/>
        <v>329</v>
      </c>
      <c r="B348" s="137">
        <f t="shared" si="106"/>
        <v>141</v>
      </c>
      <c r="C348" s="138" t="s">
        <v>218</v>
      </c>
      <c r="D348" s="138" t="s">
        <v>223</v>
      </c>
      <c r="E348" s="139">
        <v>1962</v>
      </c>
      <c r="F348" s="139">
        <v>1962</v>
      </c>
      <c r="G348" s="139" t="s">
        <v>64</v>
      </c>
      <c r="H348" s="54">
        <v>3</v>
      </c>
      <c r="I348" s="54">
        <v>2</v>
      </c>
      <c r="J348" s="55">
        <v>937.1</v>
      </c>
      <c r="K348" s="55">
        <v>723.7</v>
      </c>
      <c r="L348" s="55">
        <v>213.4</v>
      </c>
      <c r="M348" s="56">
        <v>26</v>
      </c>
      <c r="N348" s="108">
        <f t="shared" si="103"/>
        <v>9964294.7782480009</v>
      </c>
      <c r="O348" s="63"/>
      <c r="P348" s="63">
        <v>5649280.0099999998</v>
      </c>
      <c r="Q348" s="63"/>
      <c r="R348" s="63">
        <v>218510.12</v>
      </c>
      <c r="S348" s="63">
        <v>4096504.6482480001</v>
      </c>
      <c r="T348" s="63"/>
      <c r="U348" s="55">
        <v>10649.245660279599</v>
      </c>
      <c r="V348" s="55">
        <v>10649.245660279599</v>
      </c>
      <c r="W348" s="109">
        <v>2023</v>
      </c>
      <c r="X348" s="6" t="e">
        <v>#REF!</v>
      </c>
      <c r="Z348" s="62">
        <f t="shared" si="105"/>
        <v>26675784</v>
      </c>
      <c r="AA348" s="55">
        <v>2404073.9634912</v>
      </c>
      <c r="AB348" s="55">
        <v>1462843.1901888</v>
      </c>
      <c r="AC348" s="55">
        <v>689312.71110239998</v>
      </c>
      <c r="AD348" s="55">
        <v>587431.31489279994</v>
      </c>
      <c r="AE348" s="55">
        <v>0</v>
      </c>
      <c r="AF348" s="55"/>
      <c r="AG348" s="55">
        <v>227878.8628032</v>
      </c>
      <c r="AH348" s="55">
        <v>0</v>
      </c>
      <c r="AI348" s="55">
        <v>6954572.4655680005</v>
      </c>
      <c r="AJ348" s="55">
        <v>0</v>
      </c>
      <c r="AK348" s="55">
        <v>5686511.6200032001</v>
      </c>
      <c r="AL348" s="55">
        <v>5351302.3282992002</v>
      </c>
      <c r="AM348" s="55">
        <v>2534177.952</v>
      </c>
      <c r="AN348" s="63">
        <v>266757.84000000003</v>
      </c>
      <c r="AO348" s="64">
        <v>510921.7516512</v>
      </c>
      <c r="AP348" s="61">
        <f>+N348-'Приложение №2'!E348</f>
        <v>0</v>
      </c>
      <c r="AQ348" s="6">
        <f>294416.56-R152</f>
        <v>101159.12</v>
      </c>
      <c r="AR348" s="3">
        <f>+(K348*10+L348*20)*12*0.85</f>
        <v>117351</v>
      </c>
      <c r="AS348" s="3">
        <f>+(K348*10+L348*20)*12*30-S152</f>
        <v>3249806.9578032</v>
      </c>
      <c r="AT348" s="6">
        <f t="shared" si="102"/>
        <v>846697.69044480007</v>
      </c>
      <c r="AU348" s="6" t="e">
        <v>#REF!</v>
      </c>
      <c r="AV348" s="6" t="e">
        <v>#REF!</v>
      </c>
      <c r="AW348" s="62">
        <f t="shared" si="100"/>
        <v>9979408.108248001</v>
      </c>
      <c r="AX348" s="55"/>
      <c r="AY348" s="55"/>
      <c r="AZ348" s="55"/>
      <c r="BA348" s="55"/>
      <c r="BB348" s="55">
        <v>0</v>
      </c>
      <c r="BC348" s="55"/>
      <c r="BD348" s="55"/>
      <c r="BE348" s="55">
        <v>0</v>
      </c>
      <c r="BF348" s="55"/>
      <c r="BG348" s="55">
        <v>0</v>
      </c>
      <c r="BH348" s="55">
        <v>8231571.6100000003</v>
      </c>
      <c r="BI348" s="55">
        <v>1428913.34</v>
      </c>
      <c r="BJ348" s="55"/>
      <c r="BK348" s="63"/>
      <c r="BL348" s="111">
        <v>318923.15824800002</v>
      </c>
      <c r="BM348" s="62">
        <f t="shared" si="101"/>
        <v>11143529.128248001</v>
      </c>
      <c r="BN348" s="55"/>
      <c r="BO348" s="55"/>
      <c r="BP348" s="55">
        <v>953705.41</v>
      </c>
      <c r="BQ348" s="55"/>
      <c r="BR348" s="55">
        <v>0</v>
      </c>
      <c r="BS348" s="55"/>
      <c r="BT348" s="55"/>
      <c r="BU348" s="55">
        <v>0</v>
      </c>
      <c r="BV348" s="55"/>
      <c r="BW348" s="55">
        <v>0</v>
      </c>
      <c r="BX348" s="55">
        <v>8441987.2200000007</v>
      </c>
      <c r="BY348" s="55">
        <v>1428913.34</v>
      </c>
      <c r="BZ348" s="55"/>
      <c r="CA348" s="63"/>
      <c r="CB348" s="64">
        <v>318923.15824800002</v>
      </c>
      <c r="CD348" s="6"/>
    </row>
    <row r="349" spans="1:83" x14ac:dyDescent="0.25">
      <c r="A349" s="137">
        <f t="shared" si="104"/>
        <v>330</v>
      </c>
      <c r="B349" s="137">
        <f t="shared" si="106"/>
        <v>142</v>
      </c>
      <c r="C349" s="138" t="s">
        <v>218</v>
      </c>
      <c r="D349" s="138" t="s">
        <v>416</v>
      </c>
      <c r="E349" s="139">
        <v>1973</v>
      </c>
      <c r="F349" s="139">
        <v>1973</v>
      </c>
      <c r="G349" s="139" t="s">
        <v>64</v>
      </c>
      <c r="H349" s="54">
        <v>4</v>
      </c>
      <c r="I349" s="54">
        <v>1</v>
      </c>
      <c r="J349" s="55">
        <v>1419.3</v>
      </c>
      <c r="K349" s="55">
        <v>1084.2</v>
      </c>
      <c r="L349" s="55">
        <v>165.8</v>
      </c>
      <c r="M349" s="56">
        <v>48</v>
      </c>
      <c r="N349" s="108">
        <f t="shared" si="103"/>
        <v>8766797.8357354999</v>
      </c>
      <c r="O349" s="63"/>
      <c r="P349" s="63">
        <v>3311910.56</v>
      </c>
      <c r="Q349" s="63"/>
      <c r="R349" s="63">
        <v>829165.08</v>
      </c>
      <c r="S349" s="63">
        <v>4625722.1957355002</v>
      </c>
      <c r="T349" s="63"/>
      <c r="U349" s="63">
        <v>11413.8305499995</v>
      </c>
      <c r="V349" s="63">
        <v>1373.2830200640001</v>
      </c>
      <c r="W349" s="109">
        <v>2023</v>
      </c>
      <c r="X349" s="6" t="e">
        <v>#REF!</v>
      </c>
      <c r="Z349" s="62">
        <f t="shared" si="105"/>
        <v>23254292.520000003</v>
      </c>
      <c r="AA349" s="55">
        <v>3340669.60738602</v>
      </c>
      <c r="AB349" s="55">
        <v>1205189.5738415399</v>
      </c>
      <c r="AC349" s="55">
        <v>1259127.58958028</v>
      </c>
      <c r="AD349" s="55">
        <v>788321.39941547997</v>
      </c>
      <c r="AE349" s="55">
        <v>0</v>
      </c>
      <c r="AF349" s="55"/>
      <c r="AG349" s="55">
        <v>120530.94592896001</v>
      </c>
      <c r="AH349" s="55">
        <v>0</v>
      </c>
      <c r="AI349" s="55">
        <v>6183065.2576392004</v>
      </c>
      <c r="AJ349" s="55">
        <v>809296.77121649997</v>
      </c>
      <c r="AK349" s="55">
        <v>3210297.36429402</v>
      </c>
      <c r="AL349" s="55">
        <v>3462612.1981025399</v>
      </c>
      <c r="AM349" s="55">
        <v>2196989.0109000001</v>
      </c>
      <c r="AN349" s="63">
        <v>232542.9252</v>
      </c>
      <c r="AO349" s="64">
        <v>445649.87649545999</v>
      </c>
      <c r="AP349" s="61">
        <f>+N349-'Приложение №2'!E349</f>
        <v>0</v>
      </c>
      <c r="AQ349" s="65">
        <v>677532.9</v>
      </c>
      <c r="AR349" s="3">
        <f>+(K349*10.5+L349*21)*12*0.85</f>
        <v>151632.18000000002</v>
      </c>
      <c r="AS349" s="3">
        <f>+(K349*10.5+L349*21)*12*30</f>
        <v>5351724.0000000009</v>
      </c>
      <c r="AT349" s="6">
        <f t="shared" si="102"/>
        <v>-726001.80426450074</v>
      </c>
      <c r="AU349" s="6" t="e">
        <v>#REF!</v>
      </c>
      <c r="AV349" s="6" t="e">
        <v>#REF!</v>
      </c>
      <c r="AW349" s="110">
        <f t="shared" si="100"/>
        <v>12374875.082309499</v>
      </c>
      <c r="AX349" s="55"/>
      <c r="AY349" s="55"/>
      <c r="AZ349" s="55">
        <v>1387071.4761119999</v>
      </c>
      <c r="BA349" s="55"/>
      <c r="BB349" s="55">
        <v>0</v>
      </c>
      <c r="BC349" s="55"/>
      <c r="BD349" s="55"/>
      <c r="BE349" s="55">
        <v>0</v>
      </c>
      <c r="BF349" s="55">
        <v>6781012.0992599996</v>
      </c>
      <c r="BG349" s="55">
        <v>0</v>
      </c>
      <c r="BH349" s="55">
        <v>0</v>
      </c>
      <c r="BI349" s="55">
        <v>3817342.0312020001</v>
      </c>
      <c r="BJ349" s="55"/>
      <c r="BK349" s="63"/>
      <c r="BL349" s="111">
        <v>389449.47573549999</v>
      </c>
      <c r="BM349" s="110">
        <f t="shared" si="101"/>
        <v>8766797.8357355017</v>
      </c>
      <c r="BN349" s="55"/>
      <c r="BO349" s="55"/>
      <c r="BP349" s="55">
        <v>1619194.32</v>
      </c>
      <c r="BQ349" s="55"/>
      <c r="BR349" s="55">
        <v>0</v>
      </c>
      <c r="BS349" s="55"/>
      <c r="BT349" s="55"/>
      <c r="BU349" s="55">
        <v>0</v>
      </c>
      <c r="BV349" s="55">
        <v>5914808.4800000004</v>
      </c>
      <c r="BW349" s="55">
        <v>0</v>
      </c>
      <c r="BX349" s="55">
        <v>0</v>
      </c>
      <c r="BY349" s="55">
        <v>843345.56</v>
      </c>
      <c r="BZ349" s="55"/>
      <c r="CA349" s="63"/>
      <c r="CB349" s="64">
        <v>389449.47573549999</v>
      </c>
      <c r="CD349" s="3"/>
      <c r="CE349" s="3"/>
    </row>
    <row r="350" spans="1:83" x14ac:dyDescent="0.25">
      <c r="A350" s="137">
        <f t="shared" si="104"/>
        <v>331</v>
      </c>
      <c r="B350" s="137">
        <f t="shared" si="106"/>
        <v>143</v>
      </c>
      <c r="C350" s="138" t="s">
        <v>224</v>
      </c>
      <c r="D350" s="138" t="s">
        <v>417</v>
      </c>
      <c r="E350" s="139">
        <v>1994</v>
      </c>
      <c r="F350" s="139">
        <v>2015</v>
      </c>
      <c r="G350" s="139" t="s">
        <v>64</v>
      </c>
      <c r="H350" s="54">
        <v>9</v>
      </c>
      <c r="I350" s="54">
        <v>4</v>
      </c>
      <c r="J350" s="55">
        <v>9059.2999999999993</v>
      </c>
      <c r="K350" s="55">
        <v>7958.2</v>
      </c>
      <c r="L350" s="55">
        <v>49</v>
      </c>
      <c r="M350" s="56">
        <v>376</v>
      </c>
      <c r="N350" s="108">
        <f t="shared" si="103"/>
        <v>9990310.913740579</v>
      </c>
      <c r="O350" s="63"/>
      <c r="P350" s="63">
        <v>4245695.2699999996</v>
      </c>
      <c r="Q350" s="63"/>
      <c r="R350" s="63">
        <v>251488.14</v>
      </c>
      <c r="S350" s="63">
        <v>5493127.5037405798</v>
      </c>
      <c r="T350" s="63"/>
      <c r="U350" s="63">
        <v>11258.2479020311</v>
      </c>
      <c r="V350" s="63">
        <v>1384.2830200640001</v>
      </c>
      <c r="W350" s="109">
        <v>2023</v>
      </c>
      <c r="X350" s="6" t="e">
        <v>#REF!</v>
      </c>
      <c r="Z350" s="62">
        <f t="shared" si="105"/>
        <v>167033614.95999992</v>
      </c>
      <c r="AA350" s="55">
        <v>18497723.436858099</v>
      </c>
      <c r="AB350" s="55">
        <v>12695079.720886501</v>
      </c>
      <c r="AC350" s="55">
        <v>7727724.5646585599</v>
      </c>
      <c r="AD350" s="55">
        <v>6972228.5386101604</v>
      </c>
      <c r="AE350" s="55">
        <v>0</v>
      </c>
      <c r="AF350" s="55"/>
      <c r="AG350" s="55">
        <v>889888.98620160006</v>
      </c>
      <c r="AH350" s="55">
        <v>0</v>
      </c>
      <c r="AI350" s="55">
        <v>0</v>
      </c>
      <c r="AJ350" s="55">
        <v>0</v>
      </c>
      <c r="AK350" s="55">
        <v>78339424.591046199</v>
      </c>
      <c r="AL350" s="55">
        <v>20601575.841979399</v>
      </c>
      <c r="AM350" s="55">
        <v>16452952.1394</v>
      </c>
      <c r="AN350" s="63">
        <v>1670336.1495999999</v>
      </c>
      <c r="AO350" s="64">
        <v>3186680.9907594002</v>
      </c>
      <c r="AP350" s="61">
        <f>+N350-'Приложение №2'!E350</f>
        <v>0</v>
      </c>
      <c r="AQ350" s="65">
        <f>5650783.47-5939473.29</f>
        <v>-288689.8200000003</v>
      </c>
      <c r="AR350" s="3">
        <f>+(K350*13.95+L350*23.65)*12*0.85</f>
        <v>1144192.548</v>
      </c>
      <c r="AS350" s="3">
        <f>+(K350*13.95+L350*23.65)*12*30</f>
        <v>40383266.399999999</v>
      </c>
      <c r="AT350" s="6">
        <f t="shared" si="102"/>
        <v>-34890138.89625942</v>
      </c>
      <c r="AU350" s="6" t="e">
        <v>#REF!</v>
      </c>
      <c r="AV350" s="6" t="e">
        <v>#REF!</v>
      </c>
      <c r="AW350" s="110">
        <f t="shared" si="100"/>
        <v>89595388.453943759</v>
      </c>
      <c r="AX350" s="55"/>
      <c r="AY350" s="55"/>
      <c r="AZ350" s="55">
        <v>7735463.9302031901</v>
      </c>
      <c r="BA350" s="55"/>
      <c r="BB350" s="55">
        <v>0</v>
      </c>
      <c r="BC350" s="55"/>
      <c r="BD350" s="55"/>
      <c r="BE350" s="55"/>
      <c r="BF350" s="55">
        <v>0</v>
      </c>
      <c r="BG350" s="55">
        <v>0</v>
      </c>
      <c r="BH350" s="55">
        <v>78603849.219999999</v>
      </c>
      <c r="BI350" s="55">
        <v>0</v>
      </c>
      <c r="BJ350" s="55">
        <v>256263</v>
      </c>
      <c r="BK350" s="63">
        <v>85421</v>
      </c>
      <c r="BL350" s="111">
        <v>2914391.3037405801</v>
      </c>
      <c r="BM350" s="110">
        <f t="shared" si="101"/>
        <v>88620501.163740575</v>
      </c>
      <c r="BN350" s="55"/>
      <c r="BO350" s="55"/>
      <c r="BP350" s="55">
        <v>6760576.6399999997</v>
      </c>
      <c r="BQ350" s="55"/>
      <c r="BR350" s="55">
        <v>0</v>
      </c>
      <c r="BS350" s="55"/>
      <c r="BT350" s="55"/>
      <c r="BU350" s="55"/>
      <c r="BV350" s="55">
        <v>0</v>
      </c>
      <c r="BW350" s="55">
        <v>0</v>
      </c>
      <c r="BX350" s="55">
        <v>78603849.219999999</v>
      </c>
      <c r="BY350" s="55">
        <v>0</v>
      </c>
      <c r="BZ350" s="55">
        <v>256263</v>
      </c>
      <c r="CA350" s="63">
        <v>85421</v>
      </c>
      <c r="CB350" s="64">
        <v>2914391.3037405801</v>
      </c>
      <c r="CD350" s="6"/>
      <c r="CE350" s="6"/>
    </row>
    <row r="351" spans="1:83" x14ac:dyDescent="0.25">
      <c r="A351" s="137">
        <f t="shared" si="104"/>
        <v>332</v>
      </c>
      <c r="B351" s="137">
        <f t="shared" si="106"/>
        <v>144</v>
      </c>
      <c r="C351" s="138" t="s">
        <v>224</v>
      </c>
      <c r="D351" s="138" t="s">
        <v>418</v>
      </c>
      <c r="E351" s="139">
        <v>1986</v>
      </c>
      <c r="F351" s="139">
        <v>2015</v>
      </c>
      <c r="G351" s="139" t="s">
        <v>64</v>
      </c>
      <c r="H351" s="54">
        <v>9</v>
      </c>
      <c r="I351" s="54">
        <v>1</v>
      </c>
      <c r="J351" s="55">
        <v>2147.3000000000002</v>
      </c>
      <c r="K351" s="55">
        <v>1765</v>
      </c>
      <c r="L351" s="55">
        <v>118.1</v>
      </c>
      <c r="M351" s="56">
        <v>71</v>
      </c>
      <c r="N351" s="108">
        <f t="shared" si="103"/>
        <v>3158227.0989919999</v>
      </c>
      <c r="O351" s="63"/>
      <c r="P351" s="63">
        <v>1467769.69</v>
      </c>
      <c r="Q351" s="63"/>
      <c r="R351" s="63"/>
      <c r="S351" s="63">
        <v>1690457.4089919999</v>
      </c>
      <c r="T351" s="63"/>
      <c r="U351" s="55">
        <v>10650.4915964548</v>
      </c>
      <c r="V351" s="55">
        <v>10650.4915964548</v>
      </c>
      <c r="W351" s="109">
        <v>2023</v>
      </c>
      <c r="X351" s="6" t="e">
        <v>#REF!</v>
      </c>
      <c r="Z351" s="62">
        <f t="shared" si="105"/>
        <v>20557934.949999999</v>
      </c>
      <c r="AA351" s="55">
        <v>4354337.0884977598</v>
      </c>
      <c r="AB351" s="55">
        <v>2988403.2292165798</v>
      </c>
      <c r="AC351" s="55">
        <v>1819095.0789144</v>
      </c>
      <c r="AD351" s="55">
        <v>1641252.41830956</v>
      </c>
      <c r="AE351" s="55">
        <v>0</v>
      </c>
      <c r="AF351" s="55"/>
      <c r="AG351" s="55">
        <v>209478.56798399999</v>
      </c>
      <c r="AH351" s="55">
        <v>0</v>
      </c>
      <c r="AI351" s="55">
        <v>2124154.6930044</v>
      </c>
      <c r="AJ351" s="55">
        <v>0</v>
      </c>
      <c r="AK351" s="55">
        <v>0</v>
      </c>
      <c r="AL351" s="55">
        <v>4849580.8718931004</v>
      </c>
      <c r="AM351" s="55">
        <v>1972729.6575</v>
      </c>
      <c r="AN351" s="63">
        <v>205579.34950000001</v>
      </c>
      <c r="AO351" s="64">
        <v>393323.99518020003</v>
      </c>
      <c r="AP351" s="61">
        <f>+N351-'Приложение №2'!E351</f>
        <v>0</v>
      </c>
      <c r="AQ351" s="1">
        <v>1032655.91</v>
      </c>
      <c r="AR351" s="3">
        <f>+(K351*13.29+L351*22.52)*12*0.85</f>
        <v>266387.91239999997</v>
      </c>
      <c r="AS351" s="3">
        <f>+(K351*13.29+L351*22.52)*12*30</f>
        <v>9401926.3200000003</v>
      </c>
      <c r="AT351" s="6">
        <f t="shared" si="102"/>
        <v>-7711468.9110080004</v>
      </c>
      <c r="AU351" s="6" t="e">
        <v>#REF!</v>
      </c>
      <c r="AV351" s="6" t="e">
        <v>#REF!</v>
      </c>
      <c r="AW351" s="62">
        <f t="shared" si="100"/>
        <v>20055940.725283999</v>
      </c>
      <c r="AX351" s="55">
        <v>4698966.264804</v>
      </c>
      <c r="AY351" s="55">
        <v>3271249.5477900002</v>
      </c>
      <c r="AZ351" s="55">
        <v>1989640.022412</v>
      </c>
      <c r="BA351" s="55">
        <v>1832647.696614</v>
      </c>
      <c r="BB351" s="55">
        <v>0</v>
      </c>
      <c r="BC351" s="55"/>
      <c r="BD351" s="55">
        <v>209478.56798399999</v>
      </c>
      <c r="BE351" s="55">
        <v>0</v>
      </c>
      <c r="BF351" s="55">
        <v>2326355.17</v>
      </c>
      <c r="BG351" s="55">
        <v>0</v>
      </c>
      <c r="BH351" s="55">
        <v>0</v>
      </c>
      <c r="BI351" s="55">
        <v>5299064.2766880002</v>
      </c>
      <c r="BJ351" s="55"/>
      <c r="BK351" s="63"/>
      <c r="BL351" s="111">
        <v>428539.178992</v>
      </c>
      <c r="BM351" s="62">
        <f t="shared" si="101"/>
        <v>17486564.368595999</v>
      </c>
      <c r="BN351" s="55">
        <v>4698966.264804</v>
      </c>
      <c r="BO351" s="55">
        <v>3271249.5477900002</v>
      </c>
      <c r="BP351" s="55">
        <v>1989640.022412</v>
      </c>
      <c r="BQ351" s="55">
        <v>1832647.696614</v>
      </c>
      <c r="BR351" s="55">
        <v>0</v>
      </c>
      <c r="BS351" s="55"/>
      <c r="BT351" s="55">
        <v>209478.56798399999</v>
      </c>
      <c r="BU351" s="55">
        <v>0</v>
      </c>
      <c r="BV351" s="55">
        <v>2326355.17</v>
      </c>
      <c r="BW351" s="55">
        <v>0</v>
      </c>
      <c r="BX351" s="55">
        <v>0</v>
      </c>
      <c r="BY351" s="55">
        <v>2729687.92</v>
      </c>
      <c r="BZ351" s="55"/>
      <c r="CA351" s="63"/>
      <c r="CB351" s="64">
        <v>428539.178992</v>
      </c>
      <c r="CD351" s="3"/>
    </row>
    <row r="352" spans="1:83" x14ac:dyDescent="0.25">
      <c r="A352" s="137">
        <f t="shared" si="104"/>
        <v>333</v>
      </c>
      <c r="B352" s="137">
        <f t="shared" si="106"/>
        <v>145</v>
      </c>
      <c r="C352" s="138" t="s">
        <v>224</v>
      </c>
      <c r="D352" s="138" t="s">
        <v>419</v>
      </c>
      <c r="E352" s="139">
        <v>1991</v>
      </c>
      <c r="F352" s="139">
        <v>2015</v>
      </c>
      <c r="G352" s="139" t="s">
        <v>64</v>
      </c>
      <c r="H352" s="54">
        <v>9</v>
      </c>
      <c r="I352" s="54">
        <v>3</v>
      </c>
      <c r="J352" s="55">
        <v>6893.1</v>
      </c>
      <c r="K352" s="55">
        <v>6102.4</v>
      </c>
      <c r="L352" s="55">
        <v>65.5</v>
      </c>
      <c r="M352" s="56">
        <v>255</v>
      </c>
      <c r="N352" s="108">
        <f t="shared" si="103"/>
        <v>9530934.1546819601</v>
      </c>
      <c r="O352" s="63"/>
      <c r="P352" s="63">
        <v>447896.65</v>
      </c>
      <c r="Q352" s="63"/>
      <c r="R352" s="63">
        <v>628802.37</v>
      </c>
      <c r="S352" s="63">
        <v>8454235.1346819606</v>
      </c>
      <c r="T352" s="63"/>
      <c r="U352" s="55">
        <v>6681.5848132589499</v>
      </c>
      <c r="V352" s="55">
        <v>6681.5848132589499</v>
      </c>
      <c r="W352" s="109">
        <v>2023</v>
      </c>
      <c r="X352" s="6" t="e">
        <v>#REF!</v>
      </c>
      <c r="Z352" s="62">
        <f t="shared" si="105"/>
        <v>135273087.03</v>
      </c>
      <c r="AA352" s="55">
        <v>14114712.016718</v>
      </c>
      <c r="AB352" s="55">
        <v>9686997.1466872804</v>
      </c>
      <c r="AC352" s="55">
        <v>5896650.3147518402</v>
      </c>
      <c r="AD352" s="55">
        <v>5320168.0919898003</v>
      </c>
      <c r="AE352" s="55">
        <v>0</v>
      </c>
      <c r="AF352" s="55"/>
      <c r="AG352" s="55">
        <v>679030.95234239998</v>
      </c>
      <c r="AH352" s="55">
        <v>0</v>
      </c>
      <c r="AI352" s="55">
        <v>6885510.0487487996</v>
      </c>
      <c r="AJ352" s="55">
        <v>0</v>
      </c>
      <c r="AK352" s="55">
        <v>59777000.180442303</v>
      </c>
      <c r="AL352" s="55">
        <v>15720059.333967701</v>
      </c>
      <c r="AM352" s="55">
        <v>13258054.8255</v>
      </c>
      <c r="AN352" s="63">
        <v>1352730.8703000001</v>
      </c>
      <c r="AO352" s="64">
        <v>2582173.24855188</v>
      </c>
      <c r="AP352" s="61">
        <f>+N352-'Приложение №2'!E352</f>
        <v>0</v>
      </c>
      <c r="AQ352" s="6">
        <f>3490024.25</f>
        <v>3490024.25</v>
      </c>
      <c r="AR352" s="3">
        <f>+(K352*13.29+L352*22.52)*12*0.85</f>
        <v>842274.75119999982</v>
      </c>
      <c r="AS352" s="3">
        <f>+(K352*13.29+L352*22.52)*12*30</f>
        <v>29727344.159999996</v>
      </c>
      <c r="AT352" s="6">
        <f t="shared" si="102"/>
        <v>-21273109.025318034</v>
      </c>
      <c r="AU352" s="6" t="e">
        <v>#REF!</v>
      </c>
      <c r="AV352" s="6" t="e">
        <v>#REF!</v>
      </c>
      <c r="AW352" s="62">
        <f t="shared" si="100"/>
        <v>41211346.969699867</v>
      </c>
      <c r="AX352" s="55">
        <v>14114712.016718</v>
      </c>
      <c r="AY352" s="55">
        <v>5068716.41</v>
      </c>
      <c r="AZ352" s="55"/>
      <c r="BA352" s="55">
        <v>5320168.0919898003</v>
      </c>
      <c r="BB352" s="55"/>
      <c r="BC352" s="55"/>
      <c r="BD352" s="55">
        <v>679030.95234239998</v>
      </c>
      <c r="BE352" s="55">
        <v>0</v>
      </c>
      <c r="BF352" s="55"/>
      <c r="BG352" s="55">
        <v>0</v>
      </c>
      <c r="BH352" s="55"/>
      <c r="BI352" s="55">
        <v>15720059.333967701</v>
      </c>
      <c r="BJ352" s="55"/>
      <c r="BK352" s="63"/>
      <c r="BL352" s="111">
        <v>308660.16468196001</v>
      </c>
      <c r="BM352" s="62">
        <f t="shared" si="101"/>
        <v>41211346.969699867</v>
      </c>
      <c r="BN352" s="55">
        <v>14114712.016718</v>
      </c>
      <c r="BO352" s="55">
        <v>5068716.41</v>
      </c>
      <c r="BP352" s="55"/>
      <c r="BQ352" s="55">
        <v>5320168.0919898003</v>
      </c>
      <c r="BR352" s="55"/>
      <c r="BS352" s="55"/>
      <c r="BT352" s="55">
        <v>679030.95234239998</v>
      </c>
      <c r="BU352" s="55">
        <v>0</v>
      </c>
      <c r="BV352" s="55"/>
      <c r="BW352" s="55">
        <v>0</v>
      </c>
      <c r="BX352" s="55"/>
      <c r="BY352" s="55">
        <v>15720059.333967701</v>
      </c>
      <c r="BZ352" s="55"/>
      <c r="CA352" s="63"/>
      <c r="CB352" s="64">
        <v>308660.16468196001</v>
      </c>
      <c r="CD352" s="3"/>
    </row>
    <row r="353" spans="1:84" x14ac:dyDescent="0.25">
      <c r="A353" s="137">
        <f t="shared" si="104"/>
        <v>334</v>
      </c>
      <c r="B353" s="137">
        <f t="shared" si="106"/>
        <v>146</v>
      </c>
      <c r="C353" s="146" t="s">
        <v>224</v>
      </c>
      <c r="D353" s="146" t="s">
        <v>239</v>
      </c>
      <c r="E353" s="139">
        <v>1992</v>
      </c>
      <c r="F353" s="139">
        <v>2015</v>
      </c>
      <c r="G353" s="139" t="s">
        <v>64</v>
      </c>
      <c r="H353" s="54">
        <v>9</v>
      </c>
      <c r="I353" s="54">
        <v>3</v>
      </c>
      <c r="J353" s="55">
        <v>6872</v>
      </c>
      <c r="K353" s="55">
        <v>6094.4</v>
      </c>
      <c r="L353" s="55">
        <v>0</v>
      </c>
      <c r="M353" s="56">
        <v>259</v>
      </c>
      <c r="N353" s="112">
        <f t="shared" si="103"/>
        <v>7603592.7265236992</v>
      </c>
      <c r="O353" s="55"/>
      <c r="P353" s="63"/>
      <c r="Q353" s="63"/>
      <c r="R353" s="63">
        <v>1484681.69</v>
      </c>
      <c r="S353" s="63">
        <v>6118911.0365236998</v>
      </c>
      <c r="T353" s="63">
        <v>0</v>
      </c>
      <c r="U353" s="55">
        <v>1247.63598164277</v>
      </c>
      <c r="V353" s="55">
        <v>1247.63598164277</v>
      </c>
      <c r="W353" s="109">
        <v>2023</v>
      </c>
      <c r="X353" s="6" t="e">
        <v>#REF!</v>
      </c>
      <c r="Y353" s="1" t="s">
        <v>226</v>
      </c>
      <c r="Z353" s="62">
        <f t="shared" si="105"/>
        <v>58070573.899999999</v>
      </c>
      <c r="AA353" s="55">
        <v>13934572.418976299</v>
      </c>
      <c r="AB353" s="55">
        <v>9563366.4457228798</v>
      </c>
      <c r="AC353" s="55">
        <v>5821394.0711791199</v>
      </c>
      <c r="AD353" s="55">
        <v>5252269.2207845999</v>
      </c>
      <c r="AE353" s="55">
        <v>0</v>
      </c>
      <c r="AF353" s="55"/>
      <c r="AG353" s="55">
        <v>670364.7917232</v>
      </c>
      <c r="AH353" s="55">
        <v>0</v>
      </c>
      <c r="AI353" s="55">
        <v>0</v>
      </c>
      <c r="AJ353" s="55">
        <v>0</v>
      </c>
      <c r="AK353" s="55">
        <v>0</v>
      </c>
      <c r="AL353" s="55">
        <v>15519431.430770401</v>
      </c>
      <c r="AM353" s="55">
        <v>5618420.8085000003</v>
      </c>
      <c r="AN353" s="63">
        <v>580705.73899999994</v>
      </c>
      <c r="AO353" s="64">
        <v>1110048.9733434999</v>
      </c>
      <c r="AP353" s="61">
        <f>+N353-'Приложение №2'!E353</f>
        <v>0</v>
      </c>
      <c r="AQ353" s="6">
        <f>3336709.09-263343.45-R164</f>
        <v>3073365.6399999997</v>
      </c>
      <c r="AR353" s="3">
        <f>+(K353*13.29+L353*22.52)*12*0.85</f>
        <v>826144.67519999982</v>
      </c>
      <c r="AS353" s="3">
        <f>+(K353*13.29+L353*22.52)*12*30-1442656.44</f>
        <v>27715390.919999991</v>
      </c>
      <c r="AT353" s="6">
        <f t="shared" si="102"/>
        <v>-21596479.883476291</v>
      </c>
      <c r="AU353" s="6" t="e">
        <v>#REF!</v>
      </c>
      <c r="AV353" s="6" t="e">
        <v>#REF!</v>
      </c>
      <c r="AW353" s="62">
        <f t="shared" si="100"/>
        <v>7603592.7265236992</v>
      </c>
      <c r="AX353" s="55">
        <v>7298871.8499999996</v>
      </c>
      <c r="AY353" s="55"/>
      <c r="AZ353" s="55"/>
      <c r="BA353" s="55"/>
      <c r="BB353" s="55"/>
      <c r="BC353" s="55"/>
      <c r="BD353" s="55"/>
      <c r="BE353" s="55">
        <v>0</v>
      </c>
      <c r="BF353" s="55">
        <v>0</v>
      </c>
      <c r="BG353" s="55">
        <v>0</v>
      </c>
      <c r="BH353" s="55">
        <v>0</v>
      </c>
      <c r="BI353" s="55"/>
      <c r="BJ353" s="55"/>
      <c r="BK353" s="63"/>
      <c r="BL353" s="111">
        <v>304720.87652370002</v>
      </c>
      <c r="BM353" s="62">
        <f t="shared" si="101"/>
        <v>7603592.7265236992</v>
      </c>
      <c r="BN353" s="55">
        <v>7298871.8499999996</v>
      </c>
      <c r="BO353" s="55"/>
      <c r="BP353" s="55"/>
      <c r="BQ353" s="55"/>
      <c r="BR353" s="55"/>
      <c r="BS353" s="55"/>
      <c r="BT353" s="55"/>
      <c r="BU353" s="55">
        <v>0</v>
      </c>
      <c r="BV353" s="55">
        <v>0</v>
      </c>
      <c r="BW353" s="55">
        <v>0</v>
      </c>
      <c r="BX353" s="55">
        <v>0</v>
      </c>
      <c r="BY353" s="55"/>
      <c r="BZ353" s="55"/>
      <c r="CA353" s="63"/>
      <c r="CB353" s="64">
        <v>304720.87652370002</v>
      </c>
      <c r="CD353" s="6"/>
    </row>
    <row r="354" spans="1:84" x14ac:dyDescent="0.25">
      <c r="A354" s="105">
        <f t="shared" si="104"/>
        <v>335</v>
      </c>
      <c r="B354" s="106">
        <f t="shared" si="106"/>
        <v>147</v>
      </c>
      <c r="C354" s="107" t="s">
        <v>224</v>
      </c>
      <c r="D354" s="107" t="s">
        <v>238</v>
      </c>
      <c r="E354" s="54">
        <v>1989</v>
      </c>
      <c r="F354" s="54">
        <v>2015</v>
      </c>
      <c r="G354" s="54" t="s">
        <v>64</v>
      </c>
      <c r="H354" s="54">
        <v>9</v>
      </c>
      <c r="I354" s="54">
        <v>4</v>
      </c>
      <c r="J354" s="55">
        <v>9199.2999999999993</v>
      </c>
      <c r="K354" s="55">
        <v>8072</v>
      </c>
      <c r="L354" s="55">
        <v>65.599999999999994</v>
      </c>
      <c r="M354" s="56">
        <v>366</v>
      </c>
      <c r="N354" s="108">
        <f t="shared" si="103"/>
        <v>30057636.198747598</v>
      </c>
      <c r="O354" s="63"/>
      <c r="P354" s="63">
        <v>9810640.4199999999</v>
      </c>
      <c r="Q354" s="63"/>
      <c r="R354" s="63">
        <v>4700408.8284</v>
      </c>
      <c r="S354" s="63">
        <v>15546586.950347601</v>
      </c>
      <c r="T354" s="63"/>
      <c r="U354" s="55">
        <v>4310.7577024213497</v>
      </c>
      <c r="V354" s="55">
        <v>4310.7577024213497</v>
      </c>
      <c r="W354" s="109">
        <v>2023</v>
      </c>
      <c r="X354" s="6" t="e">
        <v>#REF!</v>
      </c>
      <c r="Z354" s="62">
        <f t="shared" si="105"/>
        <v>77772109.159999952</v>
      </c>
      <c r="AA354" s="55">
        <v>18662138.402554899</v>
      </c>
      <c r="AB354" s="55">
        <v>12807918.526641799</v>
      </c>
      <c r="AC354" s="55">
        <v>7796411.5854290398</v>
      </c>
      <c r="AD354" s="55">
        <v>7034200.4194895998</v>
      </c>
      <c r="AE354" s="55">
        <v>0</v>
      </c>
      <c r="AF354" s="55"/>
      <c r="AG354" s="55">
        <v>897798.66553440003</v>
      </c>
      <c r="AH354" s="55">
        <v>0</v>
      </c>
      <c r="AI354" s="55">
        <v>0</v>
      </c>
      <c r="AJ354" s="55">
        <v>0</v>
      </c>
      <c r="AK354" s="55">
        <v>0</v>
      </c>
      <c r="AL354" s="55">
        <v>20784690.6631115</v>
      </c>
      <c r="AM354" s="55">
        <v>7524575.8235999998</v>
      </c>
      <c r="AN354" s="63">
        <v>777721.09160000004</v>
      </c>
      <c r="AO354" s="64">
        <v>1486653.98203872</v>
      </c>
      <c r="AP354" s="61">
        <f>+N354-'Приложение №2'!E354</f>
        <v>0</v>
      </c>
      <c r="AQ354" s="1">
        <v>4641267.93</v>
      </c>
      <c r="AR354" s="3">
        <f>+(K354*13.29+L354*22.52)*12*0.85</f>
        <v>1109292.7583999999</v>
      </c>
      <c r="AS354" s="3">
        <f>+(K354*13.29+L354*22.52)*12*30-AS163</f>
        <v>14473887.709999997</v>
      </c>
      <c r="AT354" s="6">
        <f t="shared" si="102"/>
        <v>1072699.2403476033</v>
      </c>
      <c r="AU354" s="6" t="e">
        <v>#REF!</v>
      </c>
      <c r="AV354" s="6" t="e">
        <v>#REF!</v>
      </c>
      <c r="AW354" s="62">
        <f t="shared" si="100"/>
        <v>35079221.879224002</v>
      </c>
      <c r="AX354" s="55">
        <v>20377265.934942</v>
      </c>
      <c r="AY354" s="55"/>
      <c r="AZ354" s="55">
        <v>5982768.1600000001</v>
      </c>
      <c r="BA354" s="55">
        <v>6173299.2699999996</v>
      </c>
      <c r="BB354" s="55">
        <v>0</v>
      </c>
      <c r="BC354" s="55"/>
      <c r="BD354" s="55">
        <v>897798.66553440003</v>
      </c>
      <c r="BE354" s="55">
        <v>0</v>
      </c>
      <c r="BF354" s="55">
        <v>0</v>
      </c>
      <c r="BG354" s="55">
        <v>0</v>
      </c>
      <c r="BH354" s="55">
        <v>0</v>
      </c>
      <c r="BI354" s="55"/>
      <c r="BJ354" s="55"/>
      <c r="BK354" s="63"/>
      <c r="BL354" s="111">
        <v>1648089.8487476001</v>
      </c>
      <c r="BM354" s="62">
        <f t="shared" si="101"/>
        <v>30955434.864281997</v>
      </c>
      <c r="BN354" s="55">
        <v>16253478.92</v>
      </c>
      <c r="BO354" s="55"/>
      <c r="BP354" s="55">
        <v>5982768.1600000001</v>
      </c>
      <c r="BQ354" s="55">
        <v>6173299.2699999996</v>
      </c>
      <c r="BR354" s="55">
        <v>0</v>
      </c>
      <c r="BS354" s="55"/>
      <c r="BT354" s="55">
        <v>897798.66553440003</v>
      </c>
      <c r="BU354" s="55">
        <v>0</v>
      </c>
      <c r="BV354" s="55">
        <v>0</v>
      </c>
      <c r="BW354" s="55">
        <v>0</v>
      </c>
      <c r="BX354" s="55">
        <v>0</v>
      </c>
      <c r="BY354" s="55"/>
      <c r="BZ354" s="55"/>
      <c r="CA354" s="63"/>
      <c r="CB354" s="64">
        <v>1648089.8487476001</v>
      </c>
      <c r="CD354" s="6"/>
    </row>
    <row r="355" spans="1:84" x14ac:dyDescent="0.25">
      <c r="A355" s="105">
        <f t="shared" si="104"/>
        <v>336</v>
      </c>
      <c r="B355" s="106">
        <f t="shared" si="106"/>
        <v>148</v>
      </c>
      <c r="C355" s="53" t="s">
        <v>224</v>
      </c>
      <c r="D355" s="53" t="s">
        <v>242</v>
      </c>
      <c r="E355" s="54">
        <v>1993</v>
      </c>
      <c r="F355" s="54">
        <v>2014</v>
      </c>
      <c r="G355" s="54" t="s">
        <v>64</v>
      </c>
      <c r="H355" s="54">
        <v>9</v>
      </c>
      <c r="I355" s="54">
        <v>1</v>
      </c>
      <c r="J355" s="55">
        <v>2553.4</v>
      </c>
      <c r="K355" s="55">
        <v>2128.8000000000002</v>
      </c>
      <c r="L355" s="55">
        <v>0</v>
      </c>
      <c r="M355" s="56">
        <v>78</v>
      </c>
      <c r="N355" s="112">
        <f t="shared" si="103"/>
        <v>2695614.7541793203</v>
      </c>
      <c r="O355" s="55"/>
      <c r="P355" s="63"/>
      <c r="Q355" s="63"/>
      <c r="R355" s="63">
        <v>597799.18000000005</v>
      </c>
      <c r="S355" s="63">
        <v>2097815.5741793201</v>
      </c>
      <c r="T355" s="63"/>
      <c r="U355" s="55">
        <v>10063.5427054129</v>
      </c>
      <c r="V355" s="55">
        <v>10063.5427054129</v>
      </c>
      <c r="W355" s="109">
        <v>2023</v>
      </c>
      <c r="X355" s="6" t="e">
        <v>#REF!</v>
      </c>
      <c r="Z355" s="62">
        <f t="shared" si="105"/>
        <v>44395710.679999955</v>
      </c>
      <c r="AA355" s="55">
        <v>4916492.8733411403</v>
      </c>
      <c r="AB355" s="55">
        <v>3374213.5460846401</v>
      </c>
      <c r="AC355" s="55">
        <v>2053944.7940944801</v>
      </c>
      <c r="AD355" s="55">
        <v>1853142.2046320401</v>
      </c>
      <c r="AE355" s="55">
        <v>0</v>
      </c>
      <c r="AF355" s="55"/>
      <c r="AG355" s="55">
        <v>236522.7739728</v>
      </c>
      <c r="AH355" s="55">
        <v>0</v>
      </c>
      <c r="AI355" s="55">
        <v>0</v>
      </c>
      <c r="AJ355" s="55">
        <v>0</v>
      </c>
      <c r="AK355" s="55">
        <v>20821763.508175101</v>
      </c>
      <c r="AL355" s="55">
        <v>5475673.8714455403</v>
      </c>
      <c r="AM355" s="55">
        <v>4373014.9959000004</v>
      </c>
      <c r="AN355" s="63">
        <v>443957.10680000001</v>
      </c>
      <c r="AO355" s="64">
        <v>846985.00555422006</v>
      </c>
      <c r="AP355" s="61">
        <f>+N355-'Приложение №2'!E355</f>
        <v>0</v>
      </c>
      <c r="AQ355" s="1">
        <f>1103126.79-79353.74-714183.7328</f>
        <v>309589.31720000005</v>
      </c>
      <c r="AR355" s="3">
        <f>+(K355*13.29+L355*22.52)*12*0.85</f>
        <v>288575.87039999996</v>
      </c>
      <c r="AS355" s="3">
        <f>+(K355*13.95+L355*23.65)*12*30-300950.5-2600695.91</f>
        <v>7789187.1899999995</v>
      </c>
      <c r="AT355" s="6">
        <f t="shared" si="102"/>
        <v>-5691371.6158206798</v>
      </c>
      <c r="AU355" s="6" t="e">
        <v>#REF!</v>
      </c>
      <c r="AV355" s="6" t="e">
        <v>#REF!</v>
      </c>
      <c r="AW355" s="62">
        <f t="shared" si="100"/>
        <v>21423269.71128292</v>
      </c>
      <c r="AX355" s="55"/>
      <c r="AY355" s="55"/>
      <c r="AZ355" s="55"/>
      <c r="BA355" s="55"/>
      <c r="BB355" s="55"/>
      <c r="BC355" s="55"/>
      <c r="BD355" s="55"/>
      <c r="BE355" s="55">
        <v>0</v>
      </c>
      <c r="BF355" s="55">
        <v>0</v>
      </c>
      <c r="BG355" s="55">
        <v>0</v>
      </c>
      <c r="BH355" s="55">
        <v>20848198.017103601</v>
      </c>
      <c r="BI355" s="55"/>
      <c r="BJ355" s="55"/>
      <c r="BK355" s="63"/>
      <c r="BL355" s="111">
        <v>575071.69417932001</v>
      </c>
      <c r="BM355" s="62">
        <f t="shared" si="101"/>
        <v>21423269.71128292</v>
      </c>
      <c r="BN355" s="55"/>
      <c r="BO355" s="55"/>
      <c r="BP355" s="55"/>
      <c r="BQ355" s="55"/>
      <c r="BR355" s="55"/>
      <c r="BS355" s="55"/>
      <c r="BT355" s="55"/>
      <c r="BU355" s="55">
        <v>0</v>
      </c>
      <c r="BV355" s="55">
        <v>0</v>
      </c>
      <c r="BW355" s="55">
        <v>0</v>
      </c>
      <c r="BX355" s="55">
        <v>20848198.017103601</v>
      </c>
      <c r="BY355" s="55"/>
      <c r="BZ355" s="55"/>
      <c r="CA355" s="63"/>
      <c r="CB355" s="64">
        <v>575071.69417932001</v>
      </c>
      <c r="CD355" s="3"/>
    </row>
    <row r="356" spans="1:84" x14ac:dyDescent="0.25">
      <c r="A356" s="105">
        <f t="shared" si="104"/>
        <v>337</v>
      </c>
      <c r="B356" s="106">
        <f t="shared" si="106"/>
        <v>149</v>
      </c>
      <c r="C356" s="107" t="s">
        <v>244</v>
      </c>
      <c r="D356" s="107" t="s">
        <v>420</v>
      </c>
      <c r="E356" s="54">
        <v>1987</v>
      </c>
      <c r="F356" s="54">
        <v>1987</v>
      </c>
      <c r="G356" s="54" t="s">
        <v>64</v>
      </c>
      <c r="H356" s="54">
        <v>5</v>
      </c>
      <c r="I356" s="54">
        <v>4</v>
      </c>
      <c r="J356" s="55">
        <v>4891.3999999999996</v>
      </c>
      <c r="K356" s="55">
        <v>4293.1000000000004</v>
      </c>
      <c r="L356" s="55">
        <v>598.29999999999995</v>
      </c>
      <c r="M356" s="56">
        <v>199</v>
      </c>
      <c r="N356" s="108">
        <f t="shared" si="103"/>
        <v>10399032.477202199</v>
      </c>
      <c r="O356" s="63"/>
      <c r="P356" s="63">
        <v>2103466.3199999998</v>
      </c>
      <c r="Q356" s="63"/>
      <c r="R356" s="63">
        <v>1451302.02</v>
      </c>
      <c r="S356" s="63">
        <v>6844264.1372021995</v>
      </c>
      <c r="T356" s="63"/>
      <c r="U356" s="55">
        <v>5890.98496186998</v>
      </c>
      <c r="V356" s="55">
        <v>5890.98496186998</v>
      </c>
      <c r="W356" s="109">
        <v>2023</v>
      </c>
      <c r="X356" s="6" t="e">
        <v>#REF!</v>
      </c>
      <c r="Z356" s="62">
        <f t="shared" si="105"/>
        <v>19345683.86999996</v>
      </c>
      <c r="AA356" s="55">
        <v>12256587.7965749</v>
      </c>
      <c r="AB356" s="55">
        <v>4494523.4791594204</v>
      </c>
      <c r="AC356" s="55">
        <v>0</v>
      </c>
      <c r="AD356" s="55">
        <v>0</v>
      </c>
      <c r="AE356" s="55">
        <v>0</v>
      </c>
      <c r="AF356" s="55"/>
      <c r="AG356" s="55">
        <v>404624.41455659998</v>
      </c>
      <c r="AH356" s="55">
        <v>0</v>
      </c>
      <c r="AI356" s="55">
        <v>0</v>
      </c>
      <c r="AJ356" s="55">
        <v>0</v>
      </c>
      <c r="AK356" s="55">
        <v>0</v>
      </c>
      <c r="AL356" s="55">
        <v>0</v>
      </c>
      <c r="AM356" s="55">
        <v>1621330.1477000001</v>
      </c>
      <c r="AN356" s="63">
        <v>193456.83869999999</v>
      </c>
      <c r="AO356" s="64">
        <v>375161.19330903998</v>
      </c>
      <c r="AP356" s="61">
        <f>+N356-'Приложение №2'!E356</f>
        <v>0</v>
      </c>
      <c r="AQ356" s="1">
        <v>2008581.69</v>
      </c>
      <c r="AR356" s="3">
        <f>+(K356*10+L356*20)*12*0.85</f>
        <v>559949.4</v>
      </c>
      <c r="AS356" s="3">
        <f>+(K356*10+L356*20)*12*30</f>
        <v>19762920</v>
      </c>
      <c r="AT356" s="6">
        <f t="shared" si="102"/>
        <v>-12918655.8627978</v>
      </c>
      <c r="AU356" s="6" t="e">
        <v>#REF!</v>
      </c>
      <c r="AV356" s="6" t="e">
        <v>#REF!</v>
      </c>
      <c r="AW356" s="62">
        <f t="shared" si="100"/>
        <v>28815163.8424908</v>
      </c>
      <c r="AX356" s="55">
        <v>13389086.339244001</v>
      </c>
      <c r="AY356" s="55">
        <v>4961562.7514880002</v>
      </c>
      <c r="AZ356" s="55">
        <v>0</v>
      </c>
      <c r="BA356" s="55">
        <v>0</v>
      </c>
      <c r="BB356" s="55">
        <v>0</v>
      </c>
      <c r="BC356" s="55"/>
      <c r="BD356" s="55">
        <v>404624.41455659998</v>
      </c>
      <c r="BE356" s="55">
        <v>0</v>
      </c>
      <c r="BF356" s="55">
        <v>9145505.7300000004</v>
      </c>
      <c r="BG356" s="55">
        <v>0</v>
      </c>
      <c r="BH356" s="55">
        <v>0</v>
      </c>
      <c r="BI356" s="55">
        <v>0</v>
      </c>
      <c r="BJ356" s="55"/>
      <c r="BK356" s="63"/>
      <c r="BL356" s="111">
        <v>914384.60720219999</v>
      </c>
      <c r="BM356" s="62">
        <f t="shared" si="101"/>
        <v>29154305.982490797</v>
      </c>
      <c r="BN356" s="55">
        <v>13389086.339244001</v>
      </c>
      <c r="BO356" s="55">
        <v>4961562.7514880002</v>
      </c>
      <c r="BP356" s="55">
        <v>0</v>
      </c>
      <c r="BQ356" s="55">
        <v>0</v>
      </c>
      <c r="BR356" s="55">
        <v>0</v>
      </c>
      <c r="BS356" s="55"/>
      <c r="BT356" s="55">
        <v>404624.41455659998</v>
      </c>
      <c r="BU356" s="55">
        <v>0</v>
      </c>
      <c r="BV356" s="55">
        <v>9484647.8699999992</v>
      </c>
      <c r="BW356" s="55">
        <v>0</v>
      </c>
      <c r="BX356" s="55">
        <v>0</v>
      </c>
      <c r="BY356" s="55">
        <v>0</v>
      </c>
      <c r="BZ356" s="55"/>
      <c r="CA356" s="63"/>
      <c r="CB356" s="64">
        <v>914384.60720219999</v>
      </c>
      <c r="CD356" s="3"/>
    </row>
    <row r="357" spans="1:84" x14ac:dyDescent="0.25">
      <c r="A357" s="105">
        <f t="shared" si="104"/>
        <v>338</v>
      </c>
      <c r="B357" s="106">
        <f t="shared" si="106"/>
        <v>150</v>
      </c>
      <c r="C357" s="107" t="s">
        <v>421</v>
      </c>
      <c r="D357" s="107" t="s">
        <v>422</v>
      </c>
      <c r="E357" s="54">
        <v>1992</v>
      </c>
      <c r="F357" s="54">
        <v>2013</v>
      </c>
      <c r="G357" s="54" t="s">
        <v>64</v>
      </c>
      <c r="H357" s="54">
        <v>5</v>
      </c>
      <c r="I357" s="54">
        <v>3</v>
      </c>
      <c r="J357" s="55">
        <v>3334.6</v>
      </c>
      <c r="K357" s="55">
        <v>2949.9</v>
      </c>
      <c r="L357" s="55">
        <v>0</v>
      </c>
      <c r="M357" s="56">
        <v>91</v>
      </c>
      <c r="N357" s="108">
        <f t="shared" si="103"/>
        <v>2294426.722178</v>
      </c>
      <c r="O357" s="63"/>
      <c r="P357" s="63">
        <v>931184.89</v>
      </c>
      <c r="Q357" s="63"/>
      <c r="R357" s="63">
        <v>243415.1</v>
      </c>
      <c r="S357" s="63">
        <v>1119826.732178</v>
      </c>
      <c r="T357" s="63"/>
      <c r="U357" s="55">
        <v>6090.1892139319998</v>
      </c>
      <c r="V357" s="55">
        <v>6090.1892139319998</v>
      </c>
      <c r="W357" s="109">
        <v>2023</v>
      </c>
      <c r="X357" s="6" t="e">
        <v>#REF!</v>
      </c>
      <c r="Z357" s="62">
        <f t="shared" si="105"/>
        <v>24232773.930000003</v>
      </c>
      <c r="AA357" s="55">
        <v>6144661.3698834004</v>
      </c>
      <c r="AB357" s="55">
        <v>2838809.3808026402</v>
      </c>
      <c r="AC357" s="55">
        <v>2875834.3669440001</v>
      </c>
      <c r="AD357" s="55">
        <v>1857721.65669048</v>
      </c>
      <c r="AE357" s="55">
        <v>0</v>
      </c>
      <c r="AF357" s="55"/>
      <c r="AG357" s="55">
        <v>0</v>
      </c>
      <c r="AH357" s="55">
        <v>0</v>
      </c>
      <c r="AI357" s="55">
        <v>0</v>
      </c>
      <c r="AJ357" s="55">
        <v>0</v>
      </c>
      <c r="AK357" s="55">
        <v>7458847.8699054597</v>
      </c>
      <c r="AL357" s="55">
        <v>0</v>
      </c>
      <c r="AM357" s="55">
        <v>2351498.0564000001</v>
      </c>
      <c r="AN357" s="63">
        <v>242327.73929999999</v>
      </c>
      <c r="AO357" s="64">
        <v>463073.49007402</v>
      </c>
      <c r="AP357" s="61">
        <f>+N357-'Приложение №2'!E357</f>
        <v>0</v>
      </c>
      <c r="AQ357" s="1">
        <v>1192628.99</v>
      </c>
      <c r="AR357" s="3">
        <f>+(K357*10+L357*20)*12*0.85</f>
        <v>300889.8</v>
      </c>
      <c r="AS357" s="3">
        <f>+(K357*10+L357*20)*12*30</f>
        <v>10619640</v>
      </c>
      <c r="AT357" s="6">
        <f t="shared" si="102"/>
        <v>-9499813.2678219993</v>
      </c>
      <c r="AU357" s="6" t="e">
        <v>#REF!</v>
      </c>
      <c r="AV357" s="6" t="e">
        <v>#REF!</v>
      </c>
      <c r="AW357" s="62">
        <f t="shared" si="100"/>
        <v>17965449.162177999</v>
      </c>
      <c r="AX357" s="55">
        <v>6428842.3899999997</v>
      </c>
      <c r="AY357" s="55">
        <v>1825378.91</v>
      </c>
      <c r="AZ357" s="55">
        <v>1830078.26</v>
      </c>
      <c r="BA357" s="55"/>
      <c r="BB357" s="55">
        <v>0</v>
      </c>
      <c r="BC357" s="55"/>
      <c r="BD357" s="55"/>
      <c r="BE357" s="55">
        <v>0</v>
      </c>
      <c r="BF357" s="55">
        <v>0</v>
      </c>
      <c r="BG357" s="55">
        <v>0</v>
      </c>
      <c r="BH357" s="55">
        <v>7416801.1399999997</v>
      </c>
      <c r="BI357" s="55">
        <v>0</v>
      </c>
      <c r="BJ357" s="55"/>
      <c r="BK357" s="63"/>
      <c r="BL357" s="111">
        <v>464348.46217800002</v>
      </c>
      <c r="BM357" s="62">
        <f t="shared" si="101"/>
        <v>17965449.162177999</v>
      </c>
      <c r="BN357" s="55">
        <v>6428842.3899999997</v>
      </c>
      <c r="BO357" s="55">
        <v>1825378.91</v>
      </c>
      <c r="BP357" s="55">
        <v>1830078.26</v>
      </c>
      <c r="BQ357" s="55"/>
      <c r="BR357" s="55">
        <v>0</v>
      </c>
      <c r="BS357" s="55"/>
      <c r="BT357" s="55"/>
      <c r="BU357" s="55">
        <v>0</v>
      </c>
      <c r="BV357" s="55">
        <v>0</v>
      </c>
      <c r="BW357" s="55">
        <v>0</v>
      </c>
      <c r="BX357" s="55">
        <v>7416801.1399999997</v>
      </c>
      <c r="BY357" s="55">
        <v>0</v>
      </c>
      <c r="BZ357" s="55"/>
      <c r="CA357" s="63"/>
      <c r="CB357" s="64">
        <v>464348.46217800002</v>
      </c>
      <c r="CD357" s="3"/>
    </row>
    <row r="358" spans="1:84" s="69" customFormat="1" x14ac:dyDescent="0.25">
      <c r="A358" s="105">
        <f t="shared" si="104"/>
        <v>339</v>
      </c>
      <c r="B358" s="106">
        <f t="shared" si="106"/>
        <v>151</v>
      </c>
      <c r="C358" s="53" t="s">
        <v>423</v>
      </c>
      <c r="D358" s="53" t="s">
        <v>424</v>
      </c>
      <c r="E358" s="54" t="s">
        <v>425</v>
      </c>
      <c r="F358" s="54" t="s">
        <v>425</v>
      </c>
      <c r="G358" s="54" t="s">
        <v>64</v>
      </c>
      <c r="H358" s="54" t="s">
        <v>184</v>
      </c>
      <c r="I358" s="54" t="s">
        <v>184</v>
      </c>
      <c r="J358" s="55">
        <v>2120.65</v>
      </c>
      <c r="K358" s="55">
        <v>1602.1</v>
      </c>
      <c r="L358" s="55">
        <v>58.3</v>
      </c>
      <c r="M358" s="56">
        <v>76</v>
      </c>
      <c r="N358" s="112">
        <f t="shared" si="103"/>
        <v>2760745.8868102902</v>
      </c>
      <c r="O358" s="55">
        <v>0</v>
      </c>
      <c r="P358" s="63"/>
      <c r="Q358" s="63">
        <v>0</v>
      </c>
      <c r="R358" s="63">
        <v>871473.58</v>
      </c>
      <c r="S358" s="63">
        <v>1889272.3068102901</v>
      </c>
      <c r="T358" s="63"/>
      <c r="U358" s="63">
        <v>3846.1843211334599</v>
      </c>
      <c r="V358" s="63">
        <v>1413.2830200640001</v>
      </c>
      <c r="W358" s="109">
        <v>2023</v>
      </c>
      <c r="X358" s="69">
        <v>421077.31</v>
      </c>
      <c r="Y358" s="69">
        <f t="shared" ref="Y358:Y365" si="107">+(K358*9.1+L358*18.19)*12</f>
        <v>187675.04399999999</v>
      </c>
      <c r="AA358" s="70" t="e">
        <v>#REF!</v>
      </c>
      <c r="AD358" s="70" t="e">
        <v>#REF!</v>
      </c>
      <c r="AP358" s="61">
        <f>+N358-'Приложение №1'!CD358</f>
        <v>2760745.8868102902</v>
      </c>
      <c r="AQ358" s="65">
        <v>687400.81</v>
      </c>
      <c r="AR358" s="3">
        <f t="shared" ref="AR358:AR365" si="108">+(K358*10.5+L358*21)*12*0.85</f>
        <v>184072.77</v>
      </c>
      <c r="AS358" s="3">
        <f t="shared" ref="AS358:AS363" si="109">+(K358*10.5+L358*21)*12*30</f>
        <v>6496685.9999999991</v>
      </c>
      <c r="AT358" s="6">
        <f t="shared" si="102"/>
        <v>-4607413.6931897085</v>
      </c>
      <c r="AU358" s="6" t="e">
        <v>#REF!</v>
      </c>
      <c r="AV358" s="6" t="e">
        <v>#REF!</v>
      </c>
      <c r="AW358" s="110">
        <f t="shared" ref="AW358:AW389" si="110">SUBTOTAL(9, AX358:BL358)</f>
        <v>6161971.9008879205</v>
      </c>
      <c r="AX358" s="55"/>
      <c r="AY358" s="55">
        <v>2560521.6985019301</v>
      </c>
      <c r="AZ358" s="55">
        <v>2678283.0435968698</v>
      </c>
      <c r="BA358" s="55"/>
      <c r="BB358" s="55">
        <v>0</v>
      </c>
      <c r="BC358" s="55"/>
      <c r="BD358" s="55"/>
      <c r="BE358" s="55"/>
      <c r="BF358" s="55"/>
      <c r="BG358" s="55"/>
      <c r="BH358" s="55"/>
      <c r="BI358" s="55"/>
      <c r="BJ358" s="55">
        <v>766420.45197882794</v>
      </c>
      <c r="BK358" s="63"/>
      <c r="BL358" s="111">
        <v>156746.70681029299</v>
      </c>
      <c r="BM358" s="110">
        <f t="shared" ref="BM358:BM389" si="111">SUBTOTAL(9, BN358:CB358)</f>
        <v>3325738.7587891207</v>
      </c>
      <c r="BN358" s="55"/>
      <c r="BO358" s="55">
        <v>751912.8</v>
      </c>
      <c r="BP358" s="55">
        <v>1650658.8</v>
      </c>
      <c r="BQ358" s="55"/>
      <c r="BR358" s="55">
        <v>0</v>
      </c>
      <c r="BS358" s="55"/>
      <c r="BT358" s="55"/>
      <c r="BU358" s="55"/>
      <c r="BV358" s="55"/>
      <c r="BW358" s="55"/>
      <c r="BX358" s="55"/>
      <c r="BY358" s="55"/>
      <c r="BZ358" s="55">
        <v>766420.45197882794</v>
      </c>
      <c r="CA358" s="63"/>
      <c r="CB358" s="64">
        <v>156746.70681029299</v>
      </c>
      <c r="CD358" s="74"/>
      <c r="CE358" s="70"/>
      <c r="CF358" s="114"/>
    </row>
    <row r="359" spans="1:84" s="69" customFormat="1" x14ac:dyDescent="0.25">
      <c r="A359" s="105">
        <f t="shared" si="104"/>
        <v>340</v>
      </c>
      <c r="B359" s="106">
        <f t="shared" si="106"/>
        <v>152</v>
      </c>
      <c r="C359" s="107" t="s">
        <v>423</v>
      </c>
      <c r="D359" s="107" t="s">
        <v>426</v>
      </c>
      <c r="E359" s="54" t="s">
        <v>425</v>
      </c>
      <c r="F359" s="54" t="s">
        <v>425</v>
      </c>
      <c r="G359" s="54" t="s">
        <v>64</v>
      </c>
      <c r="H359" s="54" t="s">
        <v>184</v>
      </c>
      <c r="I359" s="54" t="s">
        <v>184</v>
      </c>
      <c r="J359" s="55">
        <v>2747.6</v>
      </c>
      <c r="K359" s="55">
        <v>2270.63</v>
      </c>
      <c r="L359" s="55">
        <v>217.6</v>
      </c>
      <c r="M359" s="56">
        <v>95</v>
      </c>
      <c r="N359" s="108">
        <f t="shared" si="103"/>
        <v>6978123.3703086395</v>
      </c>
      <c r="O359" s="63">
        <v>0</v>
      </c>
      <c r="P359" s="63">
        <v>914621.28</v>
      </c>
      <c r="Q359" s="63">
        <v>0</v>
      </c>
      <c r="R359" s="63">
        <v>1168307.8430000001</v>
      </c>
      <c r="S359" s="63">
        <v>4895194.2473086398</v>
      </c>
      <c r="T359" s="63"/>
      <c r="U359" s="63">
        <v>3258.7346237711599</v>
      </c>
      <c r="V359" s="63">
        <v>1414.2830200640001</v>
      </c>
      <c r="W359" s="109">
        <v>2023</v>
      </c>
      <c r="X359" s="69">
        <v>551877.51</v>
      </c>
      <c r="Y359" s="69">
        <f t="shared" si="107"/>
        <v>295450.52399999998</v>
      </c>
      <c r="AA359" s="70" t="e">
        <v>#REF!</v>
      </c>
      <c r="AD359" s="70" t="e">
        <v>#REF!</v>
      </c>
      <c r="AP359" s="61">
        <f>+N359-'Приложение №1'!CD359</f>
        <v>6978123.3703086395</v>
      </c>
      <c r="AQ359" s="65">
        <v>878513.45</v>
      </c>
      <c r="AR359" s="3">
        <f t="shared" si="108"/>
        <v>289794.39299999998</v>
      </c>
      <c r="AS359" s="3">
        <f t="shared" si="109"/>
        <v>10228037.4</v>
      </c>
      <c r="AT359" s="6">
        <f t="shared" si="102"/>
        <v>-5332843.1526913606</v>
      </c>
      <c r="AU359" s="6" t="e">
        <v>#REF!</v>
      </c>
      <c r="AV359" s="6" t="e">
        <v>#REF!</v>
      </c>
      <c r="AW359" s="110">
        <f t="shared" si="110"/>
        <v>15250257.820993342</v>
      </c>
      <c r="AX359" s="55">
        <v>7236891.7417667098</v>
      </c>
      <c r="AY359" s="55">
        <v>3349337.1770725702</v>
      </c>
      <c r="AZ359" s="55">
        <v>3482256.46338055</v>
      </c>
      <c r="BA359" s="55"/>
      <c r="BB359" s="55"/>
      <c r="BC359" s="55"/>
      <c r="BD359" s="55">
        <v>268700.92846487701</v>
      </c>
      <c r="BE359" s="55"/>
      <c r="BF359" s="55"/>
      <c r="BG359" s="55"/>
      <c r="BH359" s="55"/>
      <c r="BI359" s="55"/>
      <c r="BJ359" s="55">
        <v>550712.36</v>
      </c>
      <c r="BK359" s="63"/>
      <c r="BL359" s="111">
        <v>362359.15030863602</v>
      </c>
      <c r="BM359" s="110">
        <f t="shared" si="111"/>
        <v>7399380.5987735139</v>
      </c>
      <c r="BN359" s="55">
        <v>3671016.16</v>
      </c>
      <c r="BO359" s="55">
        <v>553302</v>
      </c>
      <c r="BP359" s="55">
        <v>1993290</v>
      </c>
      <c r="BQ359" s="55"/>
      <c r="BR359" s="55"/>
      <c r="BS359" s="55"/>
      <c r="BT359" s="55">
        <v>268700.92846487701</v>
      </c>
      <c r="BU359" s="55"/>
      <c r="BV359" s="55"/>
      <c r="BW359" s="55"/>
      <c r="BX359" s="55"/>
      <c r="BY359" s="55"/>
      <c r="BZ359" s="55">
        <v>550712.36</v>
      </c>
      <c r="CA359" s="63"/>
      <c r="CB359" s="64">
        <v>362359.15030863602</v>
      </c>
      <c r="CD359" s="74"/>
      <c r="CE359" s="114"/>
      <c r="CF359" s="70"/>
    </row>
    <row r="360" spans="1:84" s="69" customFormat="1" x14ac:dyDescent="0.25">
      <c r="A360" s="105">
        <f t="shared" si="104"/>
        <v>341</v>
      </c>
      <c r="B360" s="106">
        <f t="shared" si="106"/>
        <v>153</v>
      </c>
      <c r="C360" s="107" t="s">
        <v>423</v>
      </c>
      <c r="D360" s="107" t="s">
        <v>427</v>
      </c>
      <c r="E360" s="54" t="s">
        <v>304</v>
      </c>
      <c r="F360" s="54" t="s">
        <v>304</v>
      </c>
      <c r="G360" s="54" t="s">
        <v>64</v>
      </c>
      <c r="H360" s="54" t="s">
        <v>184</v>
      </c>
      <c r="I360" s="54" t="s">
        <v>184</v>
      </c>
      <c r="J360" s="55">
        <v>2879</v>
      </c>
      <c r="K360" s="55">
        <v>2169.3000000000002</v>
      </c>
      <c r="L360" s="55">
        <v>217.3</v>
      </c>
      <c r="M360" s="56">
        <v>116</v>
      </c>
      <c r="N360" s="108">
        <f t="shared" si="103"/>
        <v>17870713.233148001</v>
      </c>
      <c r="O360" s="63">
        <v>0</v>
      </c>
      <c r="P360" s="63">
        <f>3458722.26+2937997.16</f>
        <v>6396719.4199999999</v>
      </c>
      <c r="Q360" s="63">
        <v>0</v>
      </c>
      <c r="R360" s="63">
        <v>1102859.33</v>
      </c>
      <c r="S360" s="63">
        <v>10371134.483147999</v>
      </c>
      <c r="T360" s="63"/>
      <c r="U360" s="63">
        <v>11963.0686847177</v>
      </c>
      <c r="V360" s="63">
        <v>1415.2830200640001</v>
      </c>
      <c r="W360" s="109">
        <v>2023</v>
      </c>
      <c r="X360" s="69">
        <v>487955.39</v>
      </c>
      <c r="Y360" s="69">
        <f t="shared" si="107"/>
        <v>284319.804</v>
      </c>
      <c r="AA360" s="70" t="e">
        <v>#REF!</v>
      </c>
      <c r="AD360" s="70" t="e">
        <v>#REF!</v>
      </c>
      <c r="AP360" s="61">
        <f>+N360-'Приложение №1'!CD360</f>
        <v>17870713.233148001</v>
      </c>
      <c r="AQ360" s="65">
        <v>823981.64</v>
      </c>
      <c r="AR360" s="3">
        <f t="shared" si="108"/>
        <v>278877.69</v>
      </c>
      <c r="AS360" s="3">
        <f t="shared" si="109"/>
        <v>9842742</v>
      </c>
      <c r="AT360" s="6">
        <f t="shared" si="102"/>
        <v>528392.48314799927</v>
      </c>
      <c r="AU360" s="6" t="e">
        <v>#REF!</v>
      </c>
      <c r="AV360" s="6" t="e">
        <v>#REF!</v>
      </c>
      <c r="AW360" s="110">
        <f t="shared" si="110"/>
        <v>25951484.89775807</v>
      </c>
      <c r="AX360" s="55">
        <v>7588162.5095821396</v>
      </c>
      <c r="AY360" s="55">
        <v>3513749.8885165202</v>
      </c>
      <c r="AZ360" s="55">
        <v>3648800.90724076</v>
      </c>
      <c r="BA360" s="55"/>
      <c r="BB360" s="55"/>
      <c r="BC360" s="55"/>
      <c r="BD360" s="55">
        <v>281551.162123446</v>
      </c>
      <c r="BE360" s="55"/>
      <c r="BF360" s="55"/>
      <c r="BG360" s="55"/>
      <c r="BH360" s="55"/>
      <c r="BI360" s="55">
        <v>9770786.1871471796</v>
      </c>
      <c r="BJ360" s="55">
        <v>606041.76</v>
      </c>
      <c r="BK360" s="63"/>
      <c r="BL360" s="111">
        <v>542392.48314802302</v>
      </c>
      <c r="BM360" s="110">
        <f t="shared" si="111"/>
        <v>19890698.982418653</v>
      </c>
      <c r="BN360" s="55">
        <v>4837764.1900000004</v>
      </c>
      <c r="BO360" s="55">
        <v>1918622.4</v>
      </c>
      <c r="BP360" s="55">
        <v>1933540.8</v>
      </c>
      <c r="BQ360" s="55"/>
      <c r="BR360" s="55"/>
      <c r="BS360" s="55"/>
      <c r="BT360" s="55">
        <v>281551.162123446</v>
      </c>
      <c r="BU360" s="55"/>
      <c r="BV360" s="55"/>
      <c r="BW360" s="55"/>
      <c r="BX360" s="55"/>
      <c r="BY360" s="55">
        <v>9770786.1871471796</v>
      </c>
      <c r="BZ360" s="55">
        <v>606041.76</v>
      </c>
      <c r="CA360" s="63"/>
      <c r="CB360" s="64">
        <v>542392.48314802302</v>
      </c>
      <c r="CD360" s="74"/>
      <c r="CE360" s="70"/>
      <c r="CF360" s="114"/>
    </row>
    <row r="361" spans="1:84" s="69" customFormat="1" x14ac:dyDescent="0.25">
      <c r="A361" s="105">
        <f t="shared" si="104"/>
        <v>342</v>
      </c>
      <c r="B361" s="106">
        <f t="shared" si="106"/>
        <v>154</v>
      </c>
      <c r="C361" s="107" t="s">
        <v>423</v>
      </c>
      <c r="D361" s="107" t="s">
        <v>428</v>
      </c>
      <c r="E361" s="54" t="s">
        <v>429</v>
      </c>
      <c r="F361" s="54" t="s">
        <v>429</v>
      </c>
      <c r="G361" s="54" t="s">
        <v>64</v>
      </c>
      <c r="H361" s="54" t="s">
        <v>101</v>
      </c>
      <c r="I361" s="54" t="s">
        <v>184</v>
      </c>
      <c r="J361" s="55">
        <v>3412.5</v>
      </c>
      <c r="K361" s="55">
        <v>2249.4</v>
      </c>
      <c r="L361" s="55">
        <v>936.2</v>
      </c>
      <c r="M361" s="56">
        <v>105</v>
      </c>
      <c r="N361" s="108">
        <f t="shared" si="103"/>
        <v>19601059.130617946</v>
      </c>
      <c r="O361" s="63">
        <v>0</v>
      </c>
      <c r="P361" s="63">
        <v>4350097.22</v>
      </c>
      <c r="Q361" s="63">
        <v>0</v>
      </c>
      <c r="R361" s="63">
        <v>509739.71610714402</v>
      </c>
      <c r="S361" s="63">
        <v>14741222.194510801</v>
      </c>
      <c r="T361" s="114"/>
      <c r="U361" s="63">
        <v>11384.434551902201</v>
      </c>
      <c r="V361" s="63">
        <v>1416.2830200640001</v>
      </c>
      <c r="W361" s="109">
        <v>2023</v>
      </c>
      <c r="X361" s="69">
        <v>550816.85</v>
      </c>
      <c r="Y361" s="69">
        <f t="shared" si="107"/>
        <v>449988.21600000001</v>
      </c>
      <c r="AA361" s="70" t="e">
        <v>#REF!</v>
      </c>
      <c r="AD361" s="70" t="e">
        <v>#REF!</v>
      </c>
      <c r="AP361" s="61">
        <f>+N361-'Приложение №1'!CD361</f>
        <v>19601059.130617946</v>
      </c>
      <c r="AQ361" s="65">
        <v>906295.96</v>
      </c>
      <c r="AR361" s="3">
        <f t="shared" si="108"/>
        <v>441444.78</v>
      </c>
      <c r="AS361" s="3">
        <f t="shared" si="109"/>
        <v>15580404.000000002</v>
      </c>
      <c r="AT361" s="6">
        <f t="shared" si="102"/>
        <v>-839181.8054892011</v>
      </c>
      <c r="AU361" s="6" t="e">
        <v>#REF!</v>
      </c>
      <c r="AV361" s="6" t="e">
        <v>#REF!</v>
      </c>
      <c r="AW361" s="110">
        <f t="shared" si="110"/>
        <v>31007203.639035679</v>
      </c>
      <c r="AX361" s="55">
        <v>8973350.9449416008</v>
      </c>
      <c r="AY361" s="55">
        <v>4153394.86123128</v>
      </c>
      <c r="AZ361" s="55">
        <v>4321667.2967556501</v>
      </c>
      <c r="BA361" s="55"/>
      <c r="BB361" s="55"/>
      <c r="BC361" s="55"/>
      <c r="BD361" s="55">
        <v>333724.67549366399</v>
      </c>
      <c r="BE361" s="55"/>
      <c r="BF361" s="55"/>
      <c r="BG361" s="55"/>
      <c r="BH361" s="55"/>
      <c r="BI361" s="55">
        <v>11566981.3199955</v>
      </c>
      <c r="BJ361" s="55">
        <v>955846.37</v>
      </c>
      <c r="BK361" s="63"/>
      <c r="BL361" s="111">
        <v>702238.170617981</v>
      </c>
      <c r="BM361" s="110">
        <f t="shared" si="111"/>
        <v>20440240.936107147</v>
      </c>
      <c r="BN361" s="55">
        <v>3853039.2</v>
      </c>
      <c r="BO361" s="55">
        <v>1198699.2</v>
      </c>
      <c r="BP361" s="55">
        <v>1829712</v>
      </c>
      <c r="BQ361" s="55"/>
      <c r="BR361" s="55"/>
      <c r="BS361" s="55"/>
      <c r="BT361" s="55">
        <v>333724.67549366399</v>
      </c>
      <c r="BU361" s="55"/>
      <c r="BV361" s="55"/>
      <c r="BW361" s="55"/>
      <c r="BX361" s="55"/>
      <c r="BY361" s="55">
        <v>11566981.3199955</v>
      </c>
      <c r="BZ361" s="55">
        <v>955846.37</v>
      </c>
      <c r="CA361" s="63"/>
      <c r="CB361" s="64">
        <v>702238.170617981</v>
      </c>
      <c r="CD361" s="74"/>
      <c r="CE361" s="70"/>
      <c r="CF361" s="114"/>
    </row>
    <row r="362" spans="1:84" s="69" customFormat="1" x14ac:dyDescent="0.25">
      <c r="A362" s="105">
        <f t="shared" si="104"/>
        <v>343</v>
      </c>
      <c r="B362" s="106">
        <f t="shared" si="106"/>
        <v>155</v>
      </c>
      <c r="C362" s="107" t="s">
        <v>423</v>
      </c>
      <c r="D362" s="107" t="s">
        <v>430</v>
      </c>
      <c r="E362" s="54" t="s">
        <v>431</v>
      </c>
      <c r="F362" s="54" t="s">
        <v>431</v>
      </c>
      <c r="G362" s="54" t="s">
        <v>64</v>
      </c>
      <c r="H362" s="54" t="s">
        <v>101</v>
      </c>
      <c r="I362" s="54" t="s">
        <v>102</v>
      </c>
      <c r="J362" s="55">
        <v>1792.2</v>
      </c>
      <c r="K362" s="55">
        <v>1275</v>
      </c>
      <c r="L362" s="55">
        <v>170.8</v>
      </c>
      <c r="M362" s="56">
        <v>51</v>
      </c>
      <c r="N362" s="108">
        <f t="shared" si="103"/>
        <v>8386626.5673009399</v>
      </c>
      <c r="O362" s="63">
        <v>0</v>
      </c>
      <c r="P362" s="63">
        <v>1966186.66</v>
      </c>
      <c r="Q362" s="63">
        <v>0</v>
      </c>
      <c r="R362" s="63">
        <v>709963.21</v>
      </c>
      <c r="S362" s="63">
        <v>5710476.6973009398</v>
      </c>
      <c r="T362" s="63"/>
      <c r="U362" s="63">
        <v>6590.2953490196096</v>
      </c>
      <c r="V362" s="63">
        <v>1417.2830200640001</v>
      </c>
      <c r="W362" s="109">
        <v>2023</v>
      </c>
      <c r="X362" s="69">
        <v>339010.26</v>
      </c>
      <c r="Y362" s="69">
        <f t="shared" si="107"/>
        <v>176512.22400000002</v>
      </c>
      <c r="AA362" s="70" t="e">
        <v>#REF!</v>
      </c>
      <c r="AD362" s="70" t="e">
        <v>#REF!</v>
      </c>
      <c r="AP362" s="61">
        <f>+N362-'Приложение №1'!CD362</f>
        <v>8386626.5673009399</v>
      </c>
      <c r="AQ362" s="65">
        <v>536825.35</v>
      </c>
      <c r="AR362" s="3">
        <f t="shared" si="108"/>
        <v>173137.86</v>
      </c>
      <c r="AS362" s="3">
        <f t="shared" si="109"/>
        <v>6110747.9999999991</v>
      </c>
      <c r="AT362" s="6">
        <f t="shared" si="102"/>
        <v>-400271.30269905925</v>
      </c>
      <c r="AU362" s="6" t="e">
        <v>#REF!</v>
      </c>
      <c r="AV362" s="6" t="e">
        <v>#REF!</v>
      </c>
      <c r="AW362" s="110">
        <f t="shared" si="110"/>
        <v>11745078.045090741</v>
      </c>
      <c r="AX362" s="55"/>
      <c r="AY362" s="55"/>
      <c r="AZ362" s="55"/>
      <c r="BA362" s="55"/>
      <c r="BB362" s="55"/>
      <c r="BC362" s="55"/>
      <c r="BD362" s="55"/>
      <c r="BE362" s="55"/>
      <c r="BF362" s="55">
        <v>11243583.877789799</v>
      </c>
      <c r="BG362" s="55"/>
      <c r="BH362" s="55"/>
      <c r="BI362" s="55"/>
      <c r="BJ362" s="55">
        <v>255619.76</v>
      </c>
      <c r="BK362" s="63"/>
      <c r="BL362" s="111">
        <v>245874.40730094101</v>
      </c>
      <c r="BM362" s="110">
        <f t="shared" si="111"/>
        <v>8402626.5673009418</v>
      </c>
      <c r="BN362" s="55"/>
      <c r="BO362" s="55"/>
      <c r="BP362" s="55"/>
      <c r="BQ362" s="55"/>
      <c r="BR362" s="55"/>
      <c r="BS362" s="55"/>
      <c r="BT362" s="55"/>
      <c r="BU362" s="55"/>
      <c r="BV362" s="55">
        <v>7901132.4000000004</v>
      </c>
      <c r="BW362" s="55"/>
      <c r="BX362" s="55"/>
      <c r="BY362" s="55"/>
      <c r="BZ362" s="55">
        <v>255619.76</v>
      </c>
      <c r="CA362" s="63"/>
      <c r="CB362" s="64">
        <v>245874.40730094101</v>
      </c>
      <c r="CD362" s="74"/>
      <c r="CE362" s="70"/>
      <c r="CF362" s="114"/>
    </row>
    <row r="363" spans="1:84" s="69" customFormat="1" x14ac:dyDescent="0.25">
      <c r="A363" s="105">
        <f t="shared" si="104"/>
        <v>344</v>
      </c>
      <c r="B363" s="106">
        <f t="shared" si="106"/>
        <v>156</v>
      </c>
      <c r="C363" s="107" t="s">
        <v>423</v>
      </c>
      <c r="D363" s="107" t="s">
        <v>432</v>
      </c>
      <c r="E363" s="54" t="s">
        <v>433</v>
      </c>
      <c r="F363" s="54" t="s">
        <v>433</v>
      </c>
      <c r="G363" s="54" t="s">
        <v>64</v>
      </c>
      <c r="H363" s="54">
        <v>5</v>
      </c>
      <c r="I363" s="54" t="s">
        <v>229</v>
      </c>
      <c r="J363" s="55">
        <v>2036.3</v>
      </c>
      <c r="K363" s="55">
        <v>1337.75</v>
      </c>
      <c r="L363" s="55">
        <v>476.4</v>
      </c>
      <c r="M363" s="56">
        <v>93</v>
      </c>
      <c r="N363" s="108">
        <f t="shared" si="103"/>
        <v>25603344.121522501</v>
      </c>
      <c r="O363" s="63">
        <v>0</v>
      </c>
      <c r="P363" s="63">
        <v>11204690.85</v>
      </c>
      <c r="Q363" s="63">
        <v>0</v>
      </c>
      <c r="R363" s="63">
        <v>767419.94499999995</v>
      </c>
      <c r="S363" s="63">
        <v>13631233.326522499</v>
      </c>
      <c r="T363" s="63"/>
      <c r="U363" s="63">
        <v>16083.6585049523</v>
      </c>
      <c r="V363" s="63">
        <v>1418.2830200640001</v>
      </c>
      <c r="W363" s="109">
        <v>2023</v>
      </c>
      <c r="X363" s="69">
        <v>322443.77</v>
      </c>
      <c r="Y363" s="69">
        <f t="shared" si="107"/>
        <v>250070.89200000002</v>
      </c>
      <c r="AA363" s="70" t="e">
        <v>#REF!</v>
      </c>
      <c r="AD363" s="70" t="e">
        <v>#REF!</v>
      </c>
      <c r="AP363" s="61">
        <f>+N363-'Приложение №1'!CD363</f>
        <v>25603344.121522501</v>
      </c>
      <c r="AQ363" s="65">
        <v>522102.04</v>
      </c>
      <c r="AR363" s="3">
        <f t="shared" si="108"/>
        <v>245317.90500000003</v>
      </c>
      <c r="AS363" s="3">
        <f t="shared" si="109"/>
        <v>8658279.0000000019</v>
      </c>
      <c r="AT363" s="6">
        <f t="shared" si="102"/>
        <v>4972954.3265224975</v>
      </c>
      <c r="AU363" s="6" t="e">
        <v>#REF!</v>
      </c>
      <c r="AV363" s="6" t="e">
        <v>#REF!</v>
      </c>
      <c r="AW363" s="110">
        <f t="shared" si="110"/>
        <v>31710390.692750443</v>
      </c>
      <c r="AX363" s="55">
        <v>5279497.5508409599</v>
      </c>
      <c r="AY363" s="55">
        <v>2417886.2464283602</v>
      </c>
      <c r="AZ363" s="55">
        <v>2564648.5</v>
      </c>
      <c r="BA363" s="55"/>
      <c r="BB363" s="55"/>
      <c r="BC363" s="55"/>
      <c r="BD363" s="55">
        <v>199139.50379714201</v>
      </c>
      <c r="BE363" s="55"/>
      <c r="BF363" s="55">
        <v>12823226.490161501</v>
      </c>
      <c r="BG363" s="55"/>
      <c r="BH363" s="55">
        <v>6542541.5999999996</v>
      </c>
      <c r="BI363" s="55"/>
      <c r="BJ363" s="55">
        <v>1197065.94</v>
      </c>
      <c r="BK363" s="63"/>
      <c r="BL363" s="111">
        <v>686384.86152248003</v>
      </c>
      <c r="BM363" s="110">
        <f t="shared" si="111"/>
        <v>25982532.855319623</v>
      </c>
      <c r="BN363" s="55">
        <v>2354587.2000000002</v>
      </c>
      <c r="BO363" s="55">
        <v>1865384.4</v>
      </c>
      <c r="BP363" s="55">
        <v>2468315.46</v>
      </c>
      <c r="BQ363" s="55"/>
      <c r="BR363" s="55"/>
      <c r="BS363" s="55"/>
      <c r="BT363" s="55">
        <v>199139.50379714201</v>
      </c>
      <c r="BU363" s="55"/>
      <c r="BV363" s="55">
        <v>6202495.2000000002</v>
      </c>
      <c r="BW363" s="55"/>
      <c r="BX363" s="55">
        <v>11009160.289999999</v>
      </c>
      <c r="BY363" s="55"/>
      <c r="BZ363" s="55">
        <v>1197065.94</v>
      </c>
      <c r="CA363" s="63"/>
      <c r="CB363" s="64">
        <v>686384.86152248003</v>
      </c>
      <c r="CD363" s="74"/>
      <c r="CE363" s="70"/>
      <c r="CF363" s="114"/>
    </row>
    <row r="364" spans="1:84" s="69" customFormat="1" x14ac:dyDescent="0.25">
      <c r="A364" s="105">
        <f t="shared" si="104"/>
        <v>345</v>
      </c>
      <c r="B364" s="106">
        <f t="shared" si="106"/>
        <v>157</v>
      </c>
      <c r="C364" s="53" t="s">
        <v>256</v>
      </c>
      <c r="D364" s="53" t="s">
        <v>434</v>
      </c>
      <c r="E364" s="54" t="s">
        <v>425</v>
      </c>
      <c r="F364" s="54" t="s">
        <v>425</v>
      </c>
      <c r="G364" s="54" t="s">
        <v>64</v>
      </c>
      <c r="H364" s="54" t="s">
        <v>101</v>
      </c>
      <c r="I364" s="54" t="s">
        <v>184</v>
      </c>
      <c r="J364" s="55">
        <v>3929.7</v>
      </c>
      <c r="K364" s="55">
        <v>2523.6</v>
      </c>
      <c r="L364" s="55">
        <v>522.65</v>
      </c>
      <c r="M364" s="56">
        <v>69</v>
      </c>
      <c r="N364" s="112">
        <f t="shared" si="103"/>
        <v>7924604.6558726756</v>
      </c>
      <c r="O364" s="55">
        <v>0</v>
      </c>
      <c r="P364" s="63"/>
      <c r="Q364" s="63">
        <v>0</v>
      </c>
      <c r="R364" s="63">
        <v>975572.59799057501</v>
      </c>
      <c r="S364" s="63">
        <v>6949032.0578821003</v>
      </c>
      <c r="T364" s="113"/>
      <c r="U364" s="63">
        <v>3349.0698517523001</v>
      </c>
      <c r="V364" s="63">
        <v>1419.2830200640001</v>
      </c>
      <c r="W364" s="109">
        <v>2023</v>
      </c>
      <c r="X364" s="69">
        <v>1250711.5</v>
      </c>
      <c r="Y364" s="69">
        <f t="shared" si="107"/>
        <v>389661.16200000001</v>
      </c>
      <c r="AA364" s="70" t="e">
        <v>#REF!</v>
      </c>
      <c r="AD364" s="70" t="e">
        <v>#REF!</v>
      </c>
      <c r="AP364" s="61">
        <f>+N364-'Приложение №2'!E364</f>
        <v>0</v>
      </c>
      <c r="AQ364" s="69">
        <f>2118935.66-998484.23</f>
        <v>1120451.4300000002</v>
      </c>
      <c r="AR364" s="3">
        <f t="shared" si="108"/>
        <v>382229.18999999994</v>
      </c>
      <c r="AS364" s="3">
        <f>+(K364*10.5+L364*21)*12*30-2437490.96</f>
        <v>11052951.039999999</v>
      </c>
      <c r="AT364" s="6">
        <f t="shared" si="102"/>
        <v>-4103918.9821178988</v>
      </c>
      <c r="AU364" s="6" t="e">
        <v>#REF!</v>
      </c>
      <c r="AV364" s="6" t="e">
        <v>#REF!</v>
      </c>
      <c r="AW364" s="110">
        <f t="shared" si="110"/>
        <v>8451712.6778820977</v>
      </c>
      <c r="AX364" s="55"/>
      <c r="AY364" s="55"/>
      <c r="AZ364" s="55"/>
      <c r="BA364" s="55"/>
      <c r="BB364" s="55"/>
      <c r="BC364" s="55"/>
      <c r="BD364" s="55"/>
      <c r="BE364" s="55"/>
      <c r="BF364" s="55"/>
      <c r="BG364" s="55"/>
      <c r="BH364" s="55"/>
      <c r="BI364" s="55">
        <v>7987989.2220094204</v>
      </c>
      <c r="BJ364" s="55">
        <v>289042.31</v>
      </c>
      <c r="BK364" s="63"/>
      <c r="BL364" s="111">
        <v>174681.14587267701</v>
      </c>
      <c r="BM364" s="110">
        <f t="shared" si="111"/>
        <v>8451712.6778820977</v>
      </c>
      <c r="BN364" s="55"/>
      <c r="BO364" s="55"/>
      <c r="BP364" s="55"/>
      <c r="BQ364" s="55"/>
      <c r="BR364" s="55"/>
      <c r="BS364" s="55"/>
      <c r="BT364" s="55"/>
      <c r="BU364" s="55"/>
      <c r="BV364" s="55"/>
      <c r="BW364" s="55"/>
      <c r="BX364" s="55"/>
      <c r="BY364" s="55">
        <v>7987989.2220094204</v>
      </c>
      <c r="BZ364" s="55">
        <v>289042.31</v>
      </c>
      <c r="CA364" s="63"/>
      <c r="CB364" s="64">
        <v>174681.14587267701</v>
      </c>
      <c r="CD364" s="70"/>
    </row>
    <row r="365" spans="1:84" s="69" customFormat="1" x14ac:dyDescent="0.25">
      <c r="A365" s="105">
        <f t="shared" si="104"/>
        <v>346</v>
      </c>
      <c r="B365" s="106">
        <f t="shared" si="106"/>
        <v>158</v>
      </c>
      <c r="C365" s="53" t="s">
        <v>256</v>
      </c>
      <c r="D365" s="53" t="s">
        <v>435</v>
      </c>
      <c r="E365" s="54" t="s">
        <v>429</v>
      </c>
      <c r="F365" s="54" t="s">
        <v>429</v>
      </c>
      <c r="G365" s="54" t="s">
        <v>64</v>
      </c>
      <c r="H365" s="54" t="s">
        <v>101</v>
      </c>
      <c r="I365" s="54" t="s">
        <v>184</v>
      </c>
      <c r="J365" s="55">
        <v>3705.9</v>
      </c>
      <c r="K365" s="55">
        <v>2552.3000000000002</v>
      </c>
      <c r="L365" s="55">
        <v>0</v>
      </c>
      <c r="M365" s="56">
        <v>82</v>
      </c>
      <c r="N365" s="112">
        <f t="shared" si="103"/>
        <v>6189810.7041313704</v>
      </c>
      <c r="O365" s="55">
        <v>0</v>
      </c>
      <c r="P365" s="63"/>
      <c r="Q365" s="63">
        <v>0</v>
      </c>
      <c r="R365" s="63">
        <v>1256520.6741313699</v>
      </c>
      <c r="S365" s="63">
        <v>4933290.03</v>
      </c>
      <c r="T365" s="113"/>
      <c r="U365" s="63">
        <v>2948.22617462074</v>
      </c>
      <c r="V365" s="63">
        <v>1420.2830200640001</v>
      </c>
      <c r="W365" s="109">
        <v>2023</v>
      </c>
      <c r="X365" s="69">
        <v>631825.71</v>
      </c>
      <c r="Y365" s="69">
        <f t="shared" si="107"/>
        <v>278711.16000000003</v>
      </c>
      <c r="AA365" s="70" t="e">
        <v>#REF!</v>
      </c>
      <c r="AD365" s="70" t="e">
        <v>#REF!</v>
      </c>
      <c r="AP365" s="61">
        <f>+N365-'Приложение №2'!E365</f>
        <v>0</v>
      </c>
      <c r="AQ365" s="65">
        <v>1021583.37</v>
      </c>
      <c r="AR365" s="3">
        <f t="shared" si="108"/>
        <v>273351.33</v>
      </c>
      <c r="AS365" s="3">
        <f>+(K365*10.5+L365*21)*12*30</f>
        <v>9647694.0000000019</v>
      </c>
      <c r="AT365" s="6">
        <f t="shared" si="102"/>
        <v>-4714403.9700000016</v>
      </c>
      <c r="AU365" s="6" t="e">
        <v>#REF!</v>
      </c>
      <c r="AV365" s="6" t="e">
        <v>#REF!</v>
      </c>
      <c r="AW365" s="110">
        <f t="shared" si="110"/>
        <v>7524757.6654845197</v>
      </c>
      <c r="AX365" s="55"/>
      <c r="AY365" s="55"/>
      <c r="AZ365" s="55"/>
      <c r="BA365" s="55"/>
      <c r="BB365" s="55"/>
      <c r="BC365" s="55"/>
      <c r="BD365" s="55"/>
      <c r="BE365" s="55"/>
      <c r="BF365" s="55"/>
      <c r="BG365" s="55"/>
      <c r="BH365" s="55"/>
      <c r="BI365" s="55">
        <v>7090316.1613531504</v>
      </c>
      <c r="BJ365" s="55">
        <v>279390.65000000002</v>
      </c>
      <c r="BK365" s="63"/>
      <c r="BL365" s="111">
        <v>155050.85413136901</v>
      </c>
      <c r="BM365" s="110">
        <f t="shared" si="111"/>
        <v>7524757.6654845197</v>
      </c>
      <c r="BN365" s="55"/>
      <c r="BO365" s="55"/>
      <c r="BP365" s="55"/>
      <c r="BQ365" s="55"/>
      <c r="BR365" s="55"/>
      <c r="BS365" s="55"/>
      <c r="BT365" s="55"/>
      <c r="BU365" s="55"/>
      <c r="BV365" s="55"/>
      <c r="BW365" s="55"/>
      <c r="BX365" s="55"/>
      <c r="BY365" s="55">
        <v>7090316.1613531504</v>
      </c>
      <c r="BZ365" s="55">
        <v>279390.65000000002</v>
      </c>
      <c r="CA365" s="63"/>
      <c r="CB365" s="64">
        <v>155050.85413136901</v>
      </c>
      <c r="CD365" s="114"/>
    </row>
    <row r="366" spans="1:84" x14ac:dyDescent="0.25">
      <c r="A366" s="105">
        <f t="shared" si="104"/>
        <v>347</v>
      </c>
      <c r="B366" s="106">
        <f t="shared" si="106"/>
        <v>159</v>
      </c>
      <c r="C366" s="107" t="s">
        <v>256</v>
      </c>
      <c r="D366" s="107" t="s">
        <v>436</v>
      </c>
      <c r="E366" s="54">
        <v>1974</v>
      </c>
      <c r="F366" s="54">
        <v>1980</v>
      </c>
      <c r="G366" s="54" t="s">
        <v>64</v>
      </c>
      <c r="H366" s="54">
        <v>4</v>
      </c>
      <c r="I366" s="54">
        <v>4</v>
      </c>
      <c r="J366" s="55">
        <v>3718.5</v>
      </c>
      <c r="K366" s="55">
        <v>2628.2</v>
      </c>
      <c r="L366" s="55">
        <v>61.4</v>
      </c>
      <c r="M366" s="56">
        <v>99</v>
      </c>
      <c r="N366" s="108">
        <f t="shared" si="103"/>
        <v>8867525.1636668202</v>
      </c>
      <c r="O366" s="63"/>
      <c r="P366" s="63">
        <v>3595408.55</v>
      </c>
      <c r="Q366" s="63"/>
      <c r="R366" s="63">
        <v>1380937.2</v>
      </c>
      <c r="S366" s="63">
        <v>3891179.4136668202</v>
      </c>
      <c r="T366" s="63">
        <v>0</v>
      </c>
      <c r="U366" s="55">
        <v>7331.1101541585704</v>
      </c>
      <c r="V366" s="55">
        <v>7331.1101541585704</v>
      </c>
      <c r="W366" s="109">
        <v>2023</v>
      </c>
      <c r="X366" s="6" t="e">
        <v>#REF!</v>
      </c>
      <c r="Z366" s="62">
        <f>SUM(AA366:AO366)</f>
        <v>14517653.370000001</v>
      </c>
      <c r="AA366" s="55">
        <v>0</v>
      </c>
      <c r="AB366" s="55">
        <v>0</v>
      </c>
      <c r="AC366" s="55">
        <v>0</v>
      </c>
      <c r="AD366" s="55">
        <v>0</v>
      </c>
      <c r="AE366" s="55">
        <v>0</v>
      </c>
      <c r="AF366" s="55"/>
      <c r="AG366" s="55">
        <v>0</v>
      </c>
      <c r="AH366" s="55">
        <v>0</v>
      </c>
      <c r="AI366" s="55">
        <v>12786278.0290938</v>
      </c>
      <c r="AJ366" s="55">
        <v>0</v>
      </c>
      <c r="AK366" s="55">
        <v>0</v>
      </c>
      <c r="AL366" s="55">
        <v>0</v>
      </c>
      <c r="AM366" s="55">
        <v>1306588.8033</v>
      </c>
      <c r="AN366" s="63">
        <v>145176.5337</v>
      </c>
      <c r="AO366" s="64">
        <v>279610.0039062</v>
      </c>
      <c r="AP366" s="61">
        <f>+N366-'Приложение №2'!E366</f>
        <v>0</v>
      </c>
      <c r="AQ366" s="1">
        <v>1100335.2</v>
      </c>
      <c r="AR366" s="3">
        <f>+(K366*10+L366*20)*12*0.85</f>
        <v>280602</v>
      </c>
      <c r="AS366" s="3">
        <f>+(K366*10+L366*20)*12*30</f>
        <v>9903600</v>
      </c>
      <c r="AT366" s="6">
        <f t="shared" ref="AT366:AT397" si="112">+S366-AS366</f>
        <v>-6012420.5863331798</v>
      </c>
      <c r="AU366" s="6" t="e">
        <v>#REF!</v>
      </c>
      <c r="AV366" s="6" t="e">
        <v>#REF!</v>
      </c>
      <c r="AW366" s="62">
        <f t="shared" si="110"/>
        <v>19717753.870624892</v>
      </c>
      <c r="AX366" s="55">
        <v>5809436.5199999996</v>
      </c>
      <c r="AY366" s="55">
        <v>2662659.40133753</v>
      </c>
      <c r="AZ366" s="55">
        <v>2785550.9406979601</v>
      </c>
      <c r="BA366" s="55"/>
      <c r="BB366" s="55">
        <v>0</v>
      </c>
      <c r="BC366" s="55"/>
      <c r="BD366" s="55">
        <v>255018.074922584</v>
      </c>
      <c r="BE366" s="55">
        <v>0</v>
      </c>
      <c r="BF366" s="55">
        <v>6953406.8499999996</v>
      </c>
      <c r="BG366" s="55">
        <v>0</v>
      </c>
      <c r="BH366" s="55">
        <v>0</v>
      </c>
      <c r="BI366" s="55">
        <v>0</v>
      </c>
      <c r="BJ366" s="55">
        <v>588328.4</v>
      </c>
      <c r="BK366" s="63"/>
      <c r="BL366" s="111">
        <v>663353.68366681703</v>
      </c>
      <c r="BM366" s="62">
        <f t="shared" si="111"/>
        <v>17952182.539926931</v>
      </c>
      <c r="BN366" s="55">
        <v>5809436.5199999996</v>
      </c>
      <c r="BO366" s="55">
        <v>2662659.40133753</v>
      </c>
      <c r="BP366" s="55">
        <v>1019979.61</v>
      </c>
      <c r="BQ366" s="55"/>
      <c r="BR366" s="55">
        <v>0</v>
      </c>
      <c r="BS366" s="55"/>
      <c r="BT366" s="55">
        <v>255018.074922584</v>
      </c>
      <c r="BU366" s="55">
        <v>0</v>
      </c>
      <c r="BV366" s="55">
        <v>6953406.8499999996</v>
      </c>
      <c r="BW366" s="55">
        <v>0</v>
      </c>
      <c r="BX366" s="55">
        <v>0</v>
      </c>
      <c r="BY366" s="55">
        <v>0</v>
      </c>
      <c r="BZ366" s="55">
        <v>588328.4</v>
      </c>
      <c r="CA366" s="63"/>
      <c r="CB366" s="64">
        <v>663353.68366681703</v>
      </c>
      <c r="CE366" s="3"/>
      <c r="CF366" s="6"/>
    </row>
    <row r="367" spans="1:84" x14ac:dyDescent="0.25">
      <c r="A367" s="105">
        <f t="shared" si="104"/>
        <v>348</v>
      </c>
      <c r="B367" s="106">
        <f t="shared" si="106"/>
        <v>160</v>
      </c>
      <c r="C367" s="107" t="s">
        <v>437</v>
      </c>
      <c r="D367" s="107" t="s">
        <v>438</v>
      </c>
      <c r="E367" s="128">
        <v>1982</v>
      </c>
      <c r="F367" s="128">
        <v>1982</v>
      </c>
      <c r="G367" s="128" t="s">
        <v>439</v>
      </c>
      <c r="H367" s="128">
        <v>2</v>
      </c>
      <c r="I367" s="128">
        <v>3</v>
      </c>
      <c r="J367" s="63">
        <v>1277.5</v>
      </c>
      <c r="K367" s="63">
        <v>1102.3</v>
      </c>
      <c r="L367" s="63">
        <v>0</v>
      </c>
      <c r="M367" s="129">
        <v>34</v>
      </c>
      <c r="N367" s="108">
        <f t="shared" si="103"/>
        <v>2647089.074138049</v>
      </c>
      <c r="O367" s="63"/>
      <c r="P367" s="63">
        <v>1904728.57</v>
      </c>
      <c r="Q367" s="63"/>
      <c r="R367" s="63">
        <v>118809.601939817</v>
      </c>
      <c r="S367" s="63">
        <v>623550.90219823201</v>
      </c>
      <c r="T367" s="63"/>
      <c r="U367" s="63">
        <v>6498.5544985871702</v>
      </c>
      <c r="V367" s="63">
        <v>1423.2830200640001</v>
      </c>
      <c r="W367" s="109">
        <v>2023</v>
      </c>
      <c r="X367" s="6" t="e">
        <v>#REF!</v>
      </c>
      <c r="Z367" s="62">
        <f>SUM(AA367:AO367)</f>
        <v>20938342.830000006</v>
      </c>
      <c r="AA367" s="55">
        <v>2788532.6780639999</v>
      </c>
      <c r="AB367" s="55">
        <v>0</v>
      </c>
      <c r="AC367" s="55">
        <v>377369.21947200003</v>
      </c>
      <c r="AD367" s="55">
        <v>1566144.8148779999</v>
      </c>
      <c r="AE367" s="55">
        <v>0</v>
      </c>
      <c r="AF367" s="55"/>
      <c r="AG367" s="55">
        <v>616763.67752999999</v>
      </c>
      <c r="AH367" s="55">
        <v>0</v>
      </c>
      <c r="AI367" s="55">
        <v>3422622.3707340001</v>
      </c>
      <c r="AJ367" s="55">
        <v>0</v>
      </c>
      <c r="AK367" s="55">
        <v>5952055.6381440004</v>
      </c>
      <c r="AL367" s="55">
        <v>5507536.2469260003</v>
      </c>
      <c r="AM367" s="55">
        <v>219906.35</v>
      </c>
      <c r="AN367" s="63">
        <v>45000.3</v>
      </c>
      <c r="AO367" s="64">
        <v>442411.53425199998</v>
      </c>
      <c r="AP367" s="61">
        <f>+N367-'Приложение №2'!E832</f>
        <v>-5205580.271873951</v>
      </c>
      <c r="AQ367" s="6" t="e">
        <f>397322.38-#REF!</f>
        <v>#REF!</v>
      </c>
      <c r="AR367" s="3">
        <f>+(K367*7.46+L367*20.48)*12*0.85</f>
        <v>83876.211599999995</v>
      </c>
      <c r="AS367" s="3" t="e">
        <f>+(K367*7.46+L367*20.48)*12*10-#REF!</f>
        <v>#REF!</v>
      </c>
      <c r="AT367" s="6" t="e">
        <f t="shared" si="112"/>
        <v>#REF!</v>
      </c>
      <c r="AU367" s="6" t="e">
        <v>#REF!</v>
      </c>
      <c r="AV367" s="6" t="e">
        <v>#REF!</v>
      </c>
      <c r="AW367" s="110">
        <f t="shared" si="110"/>
        <v>7163356.6237926371</v>
      </c>
      <c r="AX367" s="55"/>
      <c r="AY367" s="55">
        <v>0</v>
      </c>
      <c r="AZ367" s="55">
        <v>452723.07120802801</v>
      </c>
      <c r="BA367" s="55"/>
      <c r="BB367" s="55">
        <v>0</v>
      </c>
      <c r="BC367" s="55"/>
      <c r="BD367" s="55">
        <v>0</v>
      </c>
      <c r="BE367" s="55">
        <v>0</v>
      </c>
      <c r="BF367" s="55"/>
      <c r="BG367" s="55">
        <v>0</v>
      </c>
      <c r="BH367" s="55"/>
      <c r="BI367" s="55">
        <v>6561163.0531278197</v>
      </c>
      <c r="BJ367" s="55"/>
      <c r="BK367" s="63"/>
      <c r="BL367" s="64">
        <v>149470.499456789</v>
      </c>
      <c r="BM367" s="110">
        <f t="shared" si="111"/>
        <v>7163356.6237926371</v>
      </c>
      <c r="BN367" s="55"/>
      <c r="BO367" s="55">
        <v>0</v>
      </c>
      <c r="BP367" s="55">
        <v>452723.07120802801</v>
      </c>
      <c r="BQ367" s="55"/>
      <c r="BR367" s="55">
        <v>0</v>
      </c>
      <c r="BS367" s="55"/>
      <c r="BT367" s="55">
        <v>0</v>
      </c>
      <c r="BU367" s="55">
        <v>0</v>
      </c>
      <c r="BV367" s="55"/>
      <c r="BW367" s="55">
        <v>0</v>
      </c>
      <c r="BX367" s="55"/>
      <c r="BY367" s="55">
        <v>6561163.0531278197</v>
      </c>
      <c r="BZ367" s="55"/>
      <c r="CA367" s="63"/>
      <c r="CB367" s="64">
        <v>149470.499456789</v>
      </c>
      <c r="CD367" s="6"/>
    </row>
    <row r="368" spans="1:84" x14ac:dyDescent="0.25">
      <c r="A368" s="105">
        <f t="shared" si="104"/>
        <v>349</v>
      </c>
      <c r="B368" s="106">
        <f t="shared" si="106"/>
        <v>161</v>
      </c>
      <c r="C368" s="107" t="s">
        <v>276</v>
      </c>
      <c r="D368" s="107" t="s">
        <v>440</v>
      </c>
      <c r="E368" s="54">
        <v>1981</v>
      </c>
      <c r="F368" s="54"/>
      <c r="G368" s="54" t="s">
        <v>64</v>
      </c>
      <c r="H368" s="54">
        <v>2</v>
      </c>
      <c r="I368" s="54">
        <v>1</v>
      </c>
      <c r="J368" s="55">
        <v>660</v>
      </c>
      <c r="K368" s="55">
        <v>592.70000000000005</v>
      </c>
      <c r="L368" s="55">
        <v>0</v>
      </c>
      <c r="M368" s="56">
        <v>13</v>
      </c>
      <c r="N368" s="108">
        <f t="shared" ref="N368:N379" si="113">+P368+Q368+R368+S368+T368</f>
        <v>2936346.0905683651</v>
      </c>
      <c r="O368" s="63"/>
      <c r="P368" s="63">
        <v>429373.41</v>
      </c>
      <c r="Q368" s="63"/>
      <c r="R368" s="63">
        <v>416647.16056836501</v>
      </c>
      <c r="S368" s="63">
        <v>2090325.52</v>
      </c>
      <c r="T368" s="63"/>
      <c r="U368" s="63">
        <v>7184.1916223999997</v>
      </c>
      <c r="V368" s="63">
        <v>1434.2830200640001</v>
      </c>
      <c r="W368" s="109">
        <v>2023</v>
      </c>
      <c r="X368" s="6" t="e">
        <v>#REF!</v>
      </c>
      <c r="Z368" s="62">
        <f>SUM(AA368:AO368)</f>
        <v>19893961.780000001</v>
      </c>
      <c r="AA368" s="55">
        <v>0</v>
      </c>
      <c r="AB368" s="55">
        <v>0</v>
      </c>
      <c r="AC368" s="55">
        <v>3565270.41384234</v>
      </c>
      <c r="AD368" s="55">
        <v>2303095.9599143998</v>
      </c>
      <c r="AE368" s="55">
        <v>1422513.1652520599</v>
      </c>
      <c r="AF368" s="55"/>
      <c r="AG368" s="55">
        <v>0</v>
      </c>
      <c r="AH368" s="55">
        <v>0</v>
      </c>
      <c r="AI368" s="55">
        <v>0</v>
      </c>
      <c r="AJ368" s="55">
        <v>0</v>
      </c>
      <c r="AK368" s="55">
        <v>0</v>
      </c>
      <c r="AL368" s="55">
        <v>9543182.8357933201</v>
      </c>
      <c r="AM368" s="55">
        <v>2492832.9380000001</v>
      </c>
      <c r="AN368" s="63">
        <v>198939.61780000001</v>
      </c>
      <c r="AO368" s="64">
        <v>368126.84939788003</v>
      </c>
      <c r="AP368" s="61">
        <f>+N368-'Приложение №2'!E368</f>
        <v>0</v>
      </c>
      <c r="AQ368" s="65">
        <v>365168.99</v>
      </c>
      <c r="AR368" s="3">
        <f>+(K368*10.5+L368*21)*12*0.85</f>
        <v>63478.170000000006</v>
      </c>
      <c r="AS368" s="3">
        <f>+(K368*10.5+L368*21)*12*30</f>
        <v>2240406.0000000005</v>
      </c>
      <c r="AT368" s="6">
        <f t="shared" si="112"/>
        <v>-150080.48000000045</v>
      </c>
      <c r="AU368" s="6" t="e">
        <v>#REF!</v>
      </c>
      <c r="AV368" s="6" t="e">
        <v>#REF!</v>
      </c>
      <c r="AW368" s="110">
        <f t="shared" si="110"/>
        <v>4258070.3745964849</v>
      </c>
      <c r="AX368" s="55">
        <v>0</v>
      </c>
      <c r="AY368" s="55">
        <v>0</v>
      </c>
      <c r="AZ368" s="55"/>
      <c r="BA368" s="55"/>
      <c r="BB368" s="55"/>
      <c r="BC368" s="55"/>
      <c r="BD368" s="55"/>
      <c r="BE368" s="55">
        <v>0</v>
      </c>
      <c r="BF368" s="55">
        <v>0</v>
      </c>
      <c r="BG368" s="55">
        <v>0</v>
      </c>
      <c r="BH368" s="55">
        <v>0</v>
      </c>
      <c r="BI368" s="55">
        <v>4053675.38402812</v>
      </c>
      <c r="BJ368" s="55">
        <v>87235.48</v>
      </c>
      <c r="BK368" s="63">
        <v>28513.84</v>
      </c>
      <c r="BL368" s="111">
        <v>88645.670568364701</v>
      </c>
      <c r="BM368" s="110">
        <f t="shared" si="111"/>
        <v>4258070.3745964849</v>
      </c>
      <c r="BN368" s="55">
        <v>0</v>
      </c>
      <c r="BO368" s="55">
        <v>0</v>
      </c>
      <c r="BP368" s="55"/>
      <c r="BQ368" s="55"/>
      <c r="BR368" s="55"/>
      <c r="BS368" s="55"/>
      <c r="BT368" s="55"/>
      <c r="BU368" s="55">
        <v>0</v>
      </c>
      <c r="BV368" s="55">
        <v>0</v>
      </c>
      <c r="BW368" s="55">
        <v>0</v>
      </c>
      <c r="BX368" s="55">
        <v>0</v>
      </c>
      <c r="BY368" s="55">
        <v>4053675.38402812</v>
      </c>
      <c r="BZ368" s="55">
        <v>87235.48</v>
      </c>
      <c r="CA368" s="63">
        <v>28513.84</v>
      </c>
      <c r="CB368" s="64">
        <v>88645.670568364701</v>
      </c>
      <c r="CD368" s="3"/>
      <c r="CE368" s="3"/>
      <c r="CF368" s="6"/>
    </row>
    <row r="369" spans="1:84" s="69" customFormat="1" x14ac:dyDescent="0.25">
      <c r="A369" s="105">
        <f t="shared" si="104"/>
        <v>350</v>
      </c>
      <c r="B369" s="106">
        <f t="shared" si="106"/>
        <v>162</v>
      </c>
      <c r="C369" s="53" t="s">
        <v>441</v>
      </c>
      <c r="D369" s="53" t="s">
        <v>442</v>
      </c>
      <c r="E369" s="54" t="s">
        <v>100</v>
      </c>
      <c r="F369" s="54" t="s">
        <v>100</v>
      </c>
      <c r="G369" s="54" t="s">
        <v>64</v>
      </c>
      <c r="H369" s="54" t="s">
        <v>101</v>
      </c>
      <c r="I369" s="54" t="s">
        <v>184</v>
      </c>
      <c r="J369" s="55">
        <v>4959.8999999999996</v>
      </c>
      <c r="K369" s="55">
        <v>4332.8999999999996</v>
      </c>
      <c r="L369" s="55">
        <v>85.1</v>
      </c>
      <c r="M369" s="56">
        <v>166</v>
      </c>
      <c r="N369" s="112">
        <f t="shared" si="113"/>
        <v>10284847.78749424</v>
      </c>
      <c r="O369" s="63">
        <v>0</v>
      </c>
      <c r="P369" s="63"/>
      <c r="Q369" s="63">
        <v>0</v>
      </c>
      <c r="R369" s="63">
        <v>2543640.4300000002</v>
      </c>
      <c r="S369" s="63">
        <v>7741207.3574942397</v>
      </c>
      <c r="T369" s="113"/>
      <c r="U369" s="63">
        <v>2525.5064644736599</v>
      </c>
      <c r="V369" s="63">
        <v>1435.2830200640001</v>
      </c>
      <c r="W369" s="109">
        <v>2023</v>
      </c>
      <c r="X369" s="69">
        <v>1753600.15</v>
      </c>
      <c r="Y369" s="69">
        <f>+(K369*9.1+L369*18.19)*12</f>
        <v>491728.30799999984</v>
      </c>
      <c r="AA369" s="70" t="e">
        <v>#REF!</v>
      </c>
      <c r="AD369" s="70" t="e">
        <v>#REF!</v>
      </c>
      <c r="AP369" s="61">
        <f>+N369-'Приложение №2'!E369</f>
        <v>0</v>
      </c>
      <c r="AQ369" s="65">
        <v>2639671.19</v>
      </c>
      <c r="AR369" s="3">
        <f>+(K369*10.5+L369*21)*12*0.85</f>
        <v>482282.00999999995</v>
      </c>
      <c r="AS369" s="3">
        <f>+(K369*10.5+L369*21)*12*30</f>
        <v>17021718</v>
      </c>
      <c r="AT369" s="6">
        <f t="shared" si="112"/>
        <v>-9280510.6425057612</v>
      </c>
      <c r="AU369" s="6" t="e">
        <v>#REF!</v>
      </c>
      <c r="AV369" s="6" t="e">
        <v>#REF!</v>
      </c>
      <c r="AW369" s="110">
        <f t="shared" si="110"/>
        <v>10942766.959917946</v>
      </c>
      <c r="AX369" s="55"/>
      <c r="AY369" s="55"/>
      <c r="AZ369" s="55"/>
      <c r="BA369" s="55"/>
      <c r="BB369" s="55"/>
      <c r="BC369" s="55"/>
      <c r="BD369" s="55"/>
      <c r="BE369" s="55"/>
      <c r="BF369" s="55"/>
      <c r="BG369" s="55"/>
      <c r="BH369" s="55"/>
      <c r="BI369" s="55">
        <v>10595319.462423701</v>
      </c>
      <c r="BJ369" s="55">
        <v>87235.48</v>
      </c>
      <c r="BK369" s="63">
        <v>28513.84</v>
      </c>
      <c r="BL369" s="111">
        <v>231698.17749424401</v>
      </c>
      <c r="BM369" s="110">
        <f t="shared" si="111"/>
        <v>11120211.979917945</v>
      </c>
      <c r="BN369" s="55"/>
      <c r="BO369" s="55"/>
      <c r="BP369" s="55"/>
      <c r="BQ369" s="55"/>
      <c r="BR369" s="55"/>
      <c r="BS369" s="55"/>
      <c r="BT369" s="55"/>
      <c r="BU369" s="55"/>
      <c r="BV369" s="55"/>
      <c r="BW369" s="55"/>
      <c r="BX369" s="55"/>
      <c r="BY369" s="55">
        <v>10595319.462423701</v>
      </c>
      <c r="BZ369" s="55">
        <v>264680.5</v>
      </c>
      <c r="CA369" s="63">
        <v>28513.84</v>
      </c>
      <c r="CB369" s="64">
        <v>231698.17749424401</v>
      </c>
      <c r="CD369" s="70"/>
    </row>
    <row r="370" spans="1:84" x14ac:dyDescent="0.25">
      <c r="A370" s="105">
        <f t="shared" si="104"/>
        <v>351</v>
      </c>
      <c r="B370" s="106">
        <f t="shared" si="106"/>
        <v>163</v>
      </c>
      <c r="C370" s="53" t="s">
        <v>276</v>
      </c>
      <c r="D370" s="53" t="s">
        <v>443</v>
      </c>
      <c r="E370" s="54">
        <v>1997</v>
      </c>
      <c r="F370" s="54">
        <v>2012</v>
      </c>
      <c r="G370" s="54" t="s">
        <v>64</v>
      </c>
      <c r="H370" s="54">
        <v>5</v>
      </c>
      <c r="I370" s="54">
        <v>4</v>
      </c>
      <c r="J370" s="55">
        <v>3981.21</v>
      </c>
      <c r="K370" s="55">
        <v>3474.7</v>
      </c>
      <c r="L370" s="55">
        <v>88.61</v>
      </c>
      <c r="M370" s="56">
        <v>114</v>
      </c>
      <c r="N370" s="112">
        <f t="shared" si="113"/>
        <v>1634270.6037864401</v>
      </c>
      <c r="O370" s="63"/>
      <c r="P370" s="63"/>
      <c r="Q370" s="63"/>
      <c r="R370" s="63">
        <v>1634270.6037864401</v>
      </c>
      <c r="S370" s="63">
        <v>0</v>
      </c>
      <c r="T370" s="63"/>
      <c r="U370" s="63">
        <v>458.638345747757</v>
      </c>
      <c r="V370" s="63">
        <v>458.638345747757</v>
      </c>
      <c r="W370" s="109">
        <v>2023</v>
      </c>
      <c r="X370" s="6" t="e">
        <v>#REF!</v>
      </c>
      <c r="Z370" s="62">
        <f t="shared" ref="Z370:Z375" si="114">SUM(AA370:AO370)</f>
        <v>1574001.34</v>
      </c>
      <c r="AA370" s="55">
        <v>0</v>
      </c>
      <c r="AB370" s="55">
        <v>0</v>
      </c>
      <c r="AC370" s="55">
        <v>0</v>
      </c>
      <c r="AD370" s="55">
        <v>0</v>
      </c>
      <c r="AE370" s="55">
        <v>1062819.2208135601</v>
      </c>
      <c r="AF370" s="55"/>
      <c r="AG370" s="55">
        <v>0</v>
      </c>
      <c r="AH370" s="55">
        <v>0</v>
      </c>
      <c r="AI370" s="55">
        <v>0</v>
      </c>
      <c r="AJ370" s="55">
        <v>0</v>
      </c>
      <c r="AK370" s="55">
        <v>0</v>
      </c>
      <c r="AL370" s="55">
        <v>0</v>
      </c>
      <c r="AM370" s="55">
        <v>472200.402</v>
      </c>
      <c r="AN370" s="63">
        <v>15740.0134</v>
      </c>
      <c r="AO370" s="64">
        <v>23241.703786440001</v>
      </c>
      <c r="AP370" s="61">
        <f>+N370-'Приложение №2'!E370</f>
        <v>0</v>
      </c>
      <c r="AQ370" s="1">
        <v>1742724.96</v>
      </c>
      <c r="AR370" s="3">
        <f t="shared" ref="AR370:AR375" si="115">+(K370*10+L370*20)*12*0.85</f>
        <v>372495.83999999997</v>
      </c>
      <c r="AS370" s="3">
        <f>+(K370*10+L370*20)*12*30</f>
        <v>13146911.999999998</v>
      </c>
      <c r="AT370" s="6">
        <f t="shared" si="112"/>
        <v>-13146911.999999998</v>
      </c>
      <c r="AU370" s="6" t="e">
        <v>#REF!</v>
      </c>
      <c r="AV370" s="6" t="e">
        <v>#REF!</v>
      </c>
      <c r="AW370" s="62">
        <f t="shared" si="110"/>
        <v>1050228.8737864401</v>
      </c>
      <c r="AX370" s="55">
        <v>0</v>
      </c>
      <c r="AY370" s="55">
        <v>0</v>
      </c>
      <c r="AZ370" s="55">
        <v>0</v>
      </c>
      <c r="BA370" s="55">
        <v>0</v>
      </c>
      <c r="BB370" s="55">
        <v>1026987.17</v>
      </c>
      <c r="BC370" s="55"/>
      <c r="BD370" s="55"/>
      <c r="BE370" s="55">
        <v>0</v>
      </c>
      <c r="BF370" s="55">
        <v>0</v>
      </c>
      <c r="BG370" s="55">
        <v>0</v>
      </c>
      <c r="BH370" s="55">
        <v>0</v>
      </c>
      <c r="BI370" s="55">
        <v>0</v>
      </c>
      <c r="BJ370" s="55"/>
      <c r="BK370" s="63"/>
      <c r="BL370" s="111">
        <v>23241.703786440001</v>
      </c>
      <c r="BM370" s="62">
        <f t="shared" si="111"/>
        <v>1634270.6037864399</v>
      </c>
      <c r="BN370" s="55">
        <v>0</v>
      </c>
      <c r="BO370" s="55">
        <v>0</v>
      </c>
      <c r="BP370" s="55">
        <v>0</v>
      </c>
      <c r="BQ370" s="55">
        <v>0</v>
      </c>
      <c r="BR370" s="55">
        <v>1611028.9</v>
      </c>
      <c r="BS370" s="55"/>
      <c r="BT370" s="55"/>
      <c r="BU370" s="55">
        <v>0</v>
      </c>
      <c r="BV370" s="55">
        <v>0</v>
      </c>
      <c r="BW370" s="55">
        <v>0</v>
      </c>
      <c r="BX370" s="55">
        <v>0</v>
      </c>
      <c r="BY370" s="55">
        <v>0</v>
      </c>
      <c r="BZ370" s="55"/>
      <c r="CA370" s="63"/>
      <c r="CB370" s="64">
        <v>23241.703786440001</v>
      </c>
      <c r="CD370" s="6"/>
    </row>
    <row r="371" spans="1:84" x14ac:dyDescent="0.25">
      <c r="A371" s="105">
        <f t="shared" ref="A371:A379" si="116">+A370+1</f>
        <v>352</v>
      </c>
      <c r="B371" s="106">
        <f t="shared" si="106"/>
        <v>164</v>
      </c>
      <c r="C371" s="107" t="s">
        <v>276</v>
      </c>
      <c r="D371" s="107" t="s">
        <v>444</v>
      </c>
      <c r="E371" s="54">
        <v>1992</v>
      </c>
      <c r="F371" s="54">
        <v>2010</v>
      </c>
      <c r="G371" s="54" t="s">
        <v>64</v>
      </c>
      <c r="H371" s="54">
        <v>2</v>
      </c>
      <c r="I371" s="54">
        <v>2</v>
      </c>
      <c r="J371" s="55">
        <v>1132.5999999999999</v>
      </c>
      <c r="K371" s="55">
        <v>869.3</v>
      </c>
      <c r="L371" s="55">
        <v>263.3</v>
      </c>
      <c r="M371" s="56">
        <v>31</v>
      </c>
      <c r="N371" s="108">
        <f t="shared" si="113"/>
        <v>2859873.8556459802</v>
      </c>
      <c r="O371" s="63"/>
      <c r="P371" s="63">
        <v>2566400.56</v>
      </c>
      <c r="Q371" s="63"/>
      <c r="R371" s="63">
        <v>293473.29564597999</v>
      </c>
      <c r="S371" s="63"/>
      <c r="T371" s="63"/>
      <c r="U371" s="63">
        <v>4638.58261564028</v>
      </c>
      <c r="V371" s="63">
        <v>4638.58261564028</v>
      </c>
      <c r="W371" s="109">
        <v>2023</v>
      </c>
      <c r="X371" s="6" t="e">
        <v>#REF!</v>
      </c>
      <c r="Z371" s="62">
        <f t="shared" si="114"/>
        <v>458770.53</v>
      </c>
      <c r="AA371" s="55">
        <v>0</v>
      </c>
      <c r="AB371" s="55">
        <v>0</v>
      </c>
      <c r="AC371" s="55">
        <v>0</v>
      </c>
      <c r="AD371" s="55">
        <v>0</v>
      </c>
      <c r="AE371" s="55">
        <v>309777.46005401999</v>
      </c>
      <c r="AF371" s="55"/>
      <c r="AG371" s="55">
        <v>0</v>
      </c>
      <c r="AH371" s="55">
        <v>0</v>
      </c>
      <c r="AI371" s="55">
        <v>0</v>
      </c>
      <c r="AJ371" s="55">
        <v>0</v>
      </c>
      <c r="AK371" s="55">
        <v>0</v>
      </c>
      <c r="AL371" s="55">
        <v>0</v>
      </c>
      <c r="AM371" s="55">
        <v>137631.15900000001</v>
      </c>
      <c r="AN371" s="63">
        <v>4587.7052999999996</v>
      </c>
      <c r="AO371" s="64">
        <v>6774.2056459799996</v>
      </c>
      <c r="AP371" s="61">
        <f>+N371-'Приложение №2'!E371</f>
        <v>0</v>
      </c>
      <c r="AQ371" s="1">
        <f>467298.54-180991.88</f>
        <v>286306.65999999997</v>
      </c>
      <c r="AR371" s="3">
        <f t="shared" si="115"/>
        <v>142381.79999999999</v>
      </c>
      <c r="AS371" s="3">
        <f>+(K371*10+L371*20)*12*30-1001.27</f>
        <v>5024238.7300000004</v>
      </c>
      <c r="AT371" s="6">
        <f t="shared" si="112"/>
        <v>-5024238.7300000004</v>
      </c>
      <c r="AU371" s="6" t="e">
        <v>#REF!</v>
      </c>
      <c r="AV371" s="6" t="e">
        <v>#REF!</v>
      </c>
      <c r="AW371" s="62">
        <f t="shared" si="110"/>
        <v>5253658.670474181</v>
      </c>
      <c r="AX371" s="55">
        <v>0</v>
      </c>
      <c r="AY371" s="55">
        <v>0</v>
      </c>
      <c r="AZ371" s="55">
        <v>0</v>
      </c>
      <c r="BA371" s="55">
        <v>0</v>
      </c>
      <c r="BB371" s="55">
        <v>316916.15000000002</v>
      </c>
      <c r="BC371" s="55"/>
      <c r="BD371" s="55"/>
      <c r="BE371" s="55">
        <v>0</v>
      </c>
      <c r="BF371" s="55">
        <v>0</v>
      </c>
      <c r="BG371" s="55">
        <v>0</v>
      </c>
      <c r="BH371" s="55">
        <v>0</v>
      </c>
      <c r="BI371" s="55">
        <v>4929968.3148282003</v>
      </c>
      <c r="BJ371" s="55"/>
      <c r="BK371" s="63"/>
      <c r="BL371" s="111">
        <v>6774.2056459799996</v>
      </c>
      <c r="BM371" s="62">
        <f t="shared" si="111"/>
        <v>5253658.670474181</v>
      </c>
      <c r="BN371" s="55">
        <v>0</v>
      </c>
      <c r="BO371" s="55">
        <v>0</v>
      </c>
      <c r="BP371" s="55">
        <v>0</v>
      </c>
      <c r="BQ371" s="55">
        <v>0</v>
      </c>
      <c r="BR371" s="55">
        <v>316916.15000000002</v>
      </c>
      <c r="BS371" s="55"/>
      <c r="BT371" s="55"/>
      <c r="BU371" s="55">
        <v>0</v>
      </c>
      <c r="BV371" s="55">
        <v>0</v>
      </c>
      <c r="BW371" s="55">
        <v>0</v>
      </c>
      <c r="BX371" s="55">
        <v>0</v>
      </c>
      <c r="BY371" s="55">
        <v>4929968.3148282003</v>
      </c>
      <c r="BZ371" s="55"/>
      <c r="CA371" s="63"/>
      <c r="CB371" s="64">
        <v>6774.2056459799996</v>
      </c>
    </row>
    <row r="372" spans="1:84" x14ac:dyDescent="0.25">
      <c r="A372" s="105">
        <f t="shared" si="116"/>
        <v>353</v>
      </c>
      <c r="B372" s="106">
        <f t="shared" si="106"/>
        <v>165</v>
      </c>
      <c r="C372" s="107" t="s">
        <v>276</v>
      </c>
      <c r="D372" s="107" t="s">
        <v>445</v>
      </c>
      <c r="E372" s="54">
        <v>1993</v>
      </c>
      <c r="F372" s="54">
        <v>2009</v>
      </c>
      <c r="G372" s="54" t="s">
        <v>64</v>
      </c>
      <c r="H372" s="54">
        <v>2</v>
      </c>
      <c r="I372" s="54">
        <v>2</v>
      </c>
      <c r="J372" s="55">
        <v>1119.8</v>
      </c>
      <c r="K372" s="55">
        <v>862.9</v>
      </c>
      <c r="L372" s="55">
        <v>256.89999999999998</v>
      </c>
      <c r="M372" s="56">
        <v>33</v>
      </c>
      <c r="N372" s="108">
        <f t="shared" si="113"/>
        <v>2781481.98</v>
      </c>
      <c r="O372" s="63"/>
      <c r="P372" s="63">
        <v>2460480.84</v>
      </c>
      <c r="Q372" s="63"/>
      <c r="R372" s="63">
        <v>321001.14</v>
      </c>
      <c r="S372" s="63"/>
      <c r="T372" s="63"/>
      <c r="U372" s="63">
        <v>4704.4018363488703</v>
      </c>
      <c r="V372" s="63">
        <v>4704.4018363488703</v>
      </c>
      <c r="W372" s="109">
        <v>2023</v>
      </c>
      <c r="X372" s="6" t="e">
        <v>#REF!</v>
      </c>
      <c r="Z372" s="62">
        <f t="shared" si="114"/>
        <v>404572.72000000003</v>
      </c>
      <c r="AA372" s="55">
        <v>0</v>
      </c>
      <c r="AB372" s="55">
        <v>0</v>
      </c>
      <c r="AC372" s="55">
        <v>0</v>
      </c>
      <c r="AD372" s="55">
        <v>0</v>
      </c>
      <c r="AE372" s="55">
        <v>318383.06</v>
      </c>
      <c r="AF372" s="55"/>
      <c r="AG372" s="55">
        <v>0</v>
      </c>
      <c r="AH372" s="55">
        <v>0</v>
      </c>
      <c r="AI372" s="55">
        <v>0</v>
      </c>
      <c r="AJ372" s="55">
        <v>0</v>
      </c>
      <c r="AK372" s="55">
        <v>0</v>
      </c>
      <c r="AL372" s="55">
        <v>0</v>
      </c>
      <c r="AM372" s="55">
        <v>80238.25</v>
      </c>
      <c r="AN372" s="63">
        <v>3333.33</v>
      </c>
      <c r="AO372" s="64">
        <v>2618.08</v>
      </c>
      <c r="AP372" s="61">
        <f>+N372-'Приложение №2'!E372</f>
        <v>0</v>
      </c>
      <c r="AQ372" s="1">
        <f>384509.89-236084.3854</f>
        <v>148425.50460000001</v>
      </c>
      <c r="AR372" s="3">
        <f t="shared" si="115"/>
        <v>140423.4</v>
      </c>
      <c r="AS372" s="3">
        <f>+(K372*10+L372*20)*12*30-325085.89</f>
        <v>4631034.1100000003</v>
      </c>
      <c r="AT372" s="6">
        <f t="shared" si="112"/>
        <v>-4631034.1100000003</v>
      </c>
      <c r="AU372" s="6" t="e">
        <v>#REF!</v>
      </c>
      <c r="AV372" s="6" t="e">
        <v>#REF!</v>
      </c>
      <c r="AW372" s="62">
        <f t="shared" si="110"/>
        <v>5267989.1763434596</v>
      </c>
      <c r="AX372" s="55">
        <v>0</v>
      </c>
      <c r="AY372" s="55">
        <v>0</v>
      </c>
      <c r="AZ372" s="55">
        <v>0</v>
      </c>
      <c r="BA372" s="55">
        <v>0</v>
      </c>
      <c r="BB372" s="55">
        <v>375448.21</v>
      </c>
      <c r="BC372" s="55"/>
      <c r="BD372" s="55"/>
      <c r="BE372" s="55">
        <v>0</v>
      </c>
      <c r="BF372" s="55">
        <v>0</v>
      </c>
      <c r="BG372" s="55">
        <v>0</v>
      </c>
      <c r="BH372" s="55">
        <v>0</v>
      </c>
      <c r="BI372" s="55">
        <v>4889922.8863434596</v>
      </c>
      <c r="BJ372" s="55"/>
      <c r="BK372" s="63"/>
      <c r="BL372" s="111">
        <v>2618.08</v>
      </c>
      <c r="BM372" s="62">
        <f t="shared" si="111"/>
        <v>5267989.1763434596</v>
      </c>
      <c r="BN372" s="55">
        <v>0</v>
      </c>
      <c r="BO372" s="55">
        <v>0</v>
      </c>
      <c r="BP372" s="55">
        <v>0</v>
      </c>
      <c r="BQ372" s="55">
        <v>0</v>
      </c>
      <c r="BR372" s="55">
        <v>375448.21</v>
      </c>
      <c r="BS372" s="55"/>
      <c r="BT372" s="55"/>
      <c r="BU372" s="55">
        <v>0</v>
      </c>
      <c r="BV372" s="55">
        <v>0</v>
      </c>
      <c r="BW372" s="55">
        <v>0</v>
      </c>
      <c r="BX372" s="55">
        <v>0</v>
      </c>
      <c r="BY372" s="55">
        <v>4889922.8863434596</v>
      </c>
      <c r="BZ372" s="55"/>
      <c r="CA372" s="63"/>
      <c r="CB372" s="64">
        <v>2618.08</v>
      </c>
    </row>
    <row r="373" spans="1:84" x14ac:dyDescent="0.25">
      <c r="A373" s="105">
        <f t="shared" si="116"/>
        <v>354</v>
      </c>
      <c r="B373" s="106">
        <f t="shared" si="106"/>
        <v>166</v>
      </c>
      <c r="C373" s="53" t="s">
        <v>279</v>
      </c>
      <c r="D373" s="53" t="s">
        <v>446</v>
      </c>
      <c r="E373" s="54">
        <v>1974</v>
      </c>
      <c r="F373" s="54">
        <v>2011</v>
      </c>
      <c r="G373" s="54" t="s">
        <v>64</v>
      </c>
      <c r="H373" s="54">
        <v>5</v>
      </c>
      <c r="I373" s="54">
        <v>4</v>
      </c>
      <c r="J373" s="55">
        <v>3194.1</v>
      </c>
      <c r="K373" s="55">
        <v>1856.9</v>
      </c>
      <c r="L373" s="55">
        <v>1224.7</v>
      </c>
      <c r="M373" s="56">
        <v>88</v>
      </c>
      <c r="N373" s="112">
        <f t="shared" si="113"/>
        <v>1247394.4612871199</v>
      </c>
      <c r="O373" s="63"/>
      <c r="P373" s="63"/>
      <c r="Q373" s="63"/>
      <c r="R373" s="63">
        <v>527720.56000000006</v>
      </c>
      <c r="S373" s="63">
        <v>719673.90128711995</v>
      </c>
      <c r="T373" s="63"/>
      <c r="U373" s="63">
        <v>404.78792227645403</v>
      </c>
      <c r="V373" s="63">
        <v>404.78792227645403</v>
      </c>
      <c r="W373" s="109">
        <v>2023</v>
      </c>
      <c r="X373" s="6" t="e">
        <v>#REF!</v>
      </c>
      <c r="Z373" s="62">
        <f t="shared" si="114"/>
        <v>9392640.5900000017</v>
      </c>
      <c r="AA373" s="55">
        <v>0</v>
      </c>
      <c r="AB373" s="55">
        <v>0</v>
      </c>
      <c r="AC373" s="55">
        <v>0</v>
      </c>
      <c r="AD373" s="55">
        <v>0</v>
      </c>
      <c r="AE373" s="55">
        <v>1022757.27023358</v>
      </c>
      <c r="AF373" s="55"/>
      <c r="AG373" s="55">
        <v>0</v>
      </c>
      <c r="AH373" s="55">
        <v>0</v>
      </c>
      <c r="AI373" s="55">
        <v>0</v>
      </c>
      <c r="AJ373" s="55">
        <v>0</v>
      </c>
      <c r="AK373" s="55">
        <v>0</v>
      </c>
      <c r="AL373" s="55">
        <v>6861349.2395128803</v>
      </c>
      <c r="AM373" s="55">
        <v>1242198.233</v>
      </c>
      <c r="AN373" s="63">
        <v>93926.405899999998</v>
      </c>
      <c r="AO373" s="64">
        <v>172409.44135353999</v>
      </c>
      <c r="AP373" s="61">
        <f>+N373-'Приложение №2'!E373</f>
        <v>0</v>
      </c>
      <c r="AQ373" s="1">
        <f>1878287.66-954525.39</f>
        <v>923762.2699999999</v>
      </c>
      <c r="AR373" s="3">
        <f t="shared" si="115"/>
        <v>439242.6</v>
      </c>
      <c r="AS373" s="3">
        <f>+(K373*10+L373*20)*12*30-119920.72-2599968.3</f>
        <v>12782790.98</v>
      </c>
      <c r="AT373" s="6">
        <f t="shared" si="112"/>
        <v>-12063117.078712881</v>
      </c>
      <c r="AU373" s="6" t="e">
        <v>#REF!</v>
      </c>
      <c r="AV373" s="6" t="e">
        <v>#REF!</v>
      </c>
      <c r="AW373" s="62">
        <f t="shared" si="110"/>
        <v>1247394.4612871199</v>
      </c>
      <c r="AX373" s="55">
        <v>0</v>
      </c>
      <c r="AY373" s="55">
        <v>0</v>
      </c>
      <c r="AZ373" s="55">
        <v>0</v>
      </c>
      <c r="BA373" s="55">
        <v>0</v>
      </c>
      <c r="BB373" s="55"/>
      <c r="BC373" s="55"/>
      <c r="BD373" s="55"/>
      <c r="BE373" s="55">
        <v>0</v>
      </c>
      <c r="BF373" s="55">
        <v>0</v>
      </c>
      <c r="BG373" s="55">
        <v>0</v>
      </c>
      <c r="BH373" s="55">
        <v>0</v>
      </c>
      <c r="BI373" s="55">
        <v>1097350.6499999999</v>
      </c>
      <c r="BJ373" s="55"/>
      <c r="BK373" s="63"/>
      <c r="BL373" s="111">
        <v>150043.81128712001</v>
      </c>
      <c r="BM373" s="62">
        <f t="shared" si="111"/>
        <v>1247394.4612871199</v>
      </c>
      <c r="BN373" s="55">
        <v>0</v>
      </c>
      <c r="BO373" s="55">
        <v>0</v>
      </c>
      <c r="BP373" s="55">
        <v>0</v>
      </c>
      <c r="BQ373" s="55">
        <v>0</v>
      </c>
      <c r="BR373" s="55"/>
      <c r="BS373" s="55"/>
      <c r="BT373" s="55"/>
      <c r="BU373" s="55">
        <v>0</v>
      </c>
      <c r="BV373" s="55">
        <v>0</v>
      </c>
      <c r="BW373" s="55">
        <v>0</v>
      </c>
      <c r="BX373" s="55">
        <v>0</v>
      </c>
      <c r="BY373" s="55">
        <v>1097350.6499999999</v>
      </c>
      <c r="BZ373" s="55"/>
      <c r="CA373" s="63"/>
      <c r="CB373" s="64">
        <v>150043.81128712001</v>
      </c>
    </row>
    <row r="374" spans="1:84" x14ac:dyDescent="0.25">
      <c r="A374" s="105">
        <f t="shared" si="116"/>
        <v>355</v>
      </c>
      <c r="B374" s="106">
        <f t="shared" si="106"/>
        <v>167</v>
      </c>
      <c r="C374" s="107" t="s">
        <v>279</v>
      </c>
      <c r="D374" s="107" t="s">
        <v>288</v>
      </c>
      <c r="E374" s="54">
        <v>1969</v>
      </c>
      <c r="F374" s="54">
        <v>2009</v>
      </c>
      <c r="G374" s="54" t="s">
        <v>64</v>
      </c>
      <c r="H374" s="54">
        <v>4</v>
      </c>
      <c r="I374" s="54">
        <v>4</v>
      </c>
      <c r="J374" s="55">
        <v>2719.1</v>
      </c>
      <c r="K374" s="55">
        <v>2454</v>
      </c>
      <c r="L374" s="55">
        <v>66.5</v>
      </c>
      <c r="M374" s="56">
        <v>120</v>
      </c>
      <c r="N374" s="108">
        <f t="shared" si="113"/>
        <v>6512366.1313439999</v>
      </c>
      <c r="O374" s="63"/>
      <c r="P374" s="63">
        <v>671332.44</v>
      </c>
      <c r="Q374" s="63"/>
      <c r="R374" s="63">
        <v>0</v>
      </c>
      <c r="S374" s="63">
        <v>5841033.6913440004</v>
      </c>
      <c r="T374" s="63"/>
      <c r="U374" s="63">
        <v>2583.7596236238801</v>
      </c>
      <c r="V374" s="63">
        <v>2583.7596236238801</v>
      </c>
      <c r="W374" s="109">
        <v>2023</v>
      </c>
      <c r="X374" s="6" t="e">
        <v>#REF!</v>
      </c>
      <c r="Z374" s="62">
        <f t="shared" si="114"/>
        <v>14067048.463401999</v>
      </c>
      <c r="AA374" s="55">
        <v>0</v>
      </c>
      <c r="AB374" s="55">
        <v>0</v>
      </c>
      <c r="AC374" s="55">
        <v>0</v>
      </c>
      <c r="AD374" s="55">
        <v>0</v>
      </c>
      <c r="AE374" s="55">
        <v>850099.92968124</v>
      </c>
      <c r="AF374" s="55"/>
      <c r="AG374" s="55">
        <v>0</v>
      </c>
      <c r="AH374" s="55">
        <v>0</v>
      </c>
      <c r="AI374" s="55">
        <v>0</v>
      </c>
      <c r="AJ374" s="55">
        <v>0</v>
      </c>
      <c r="AK374" s="55">
        <v>6122487.8099999996</v>
      </c>
      <c r="AL374" s="55">
        <v>6280344.04</v>
      </c>
      <c r="AM374" s="55">
        <v>592071.17799999996</v>
      </c>
      <c r="AN374" s="63">
        <v>53956.3586</v>
      </c>
      <c r="AO374" s="64">
        <v>168089.14712076</v>
      </c>
      <c r="AP374" s="61">
        <f>+N374-'Приложение №2'!E374</f>
        <v>0</v>
      </c>
      <c r="AQ374" s="6">
        <f>882910.83-R200</f>
        <v>-280632.59999999998</v>
      </c>
      <c r="AR374" s="3">
        <f t="shared" si="115"/>
        <v>263874</v>
      </c>
      <c r="AS374" s="3">
        <f>+(K374*10+L374*20)*12*30-S200</f>
        <v>4210775.4186559999</v>
      </c>
      <c r="AT374" s="6">
        <f t="shared" si="112"/>
        <v>1630258.2726880005</v>
      </c>
      <c r="AW374" s="62">
        <f t="shared" si="110"/>
        <v>6512366.1313439999</v>
      </c>
      <c r="AX374" s="55">
        <v>0</v>
      </c>
      <c r="AY374" s="55">
        <v>0</v>
      </c>
      <c r="AZ374" s="55">
        <v>0</v>
      </c>
      <c r="BA374" s="55">
        <v>0</v>
      </c>
      <c r="BB374" s="55"/>
      <c r="BC374" s="55"/>
      <c r="BD374" s="55"/>
      <c r="BE374" s="55">
        <v>0</v>
      </c>
      <c r="BF374" s="55">
        <v>0</v>
      </c>
      <c r="BG374" s="55">
        <v>0</v>
      </c>
      <c r="BH374" s="55"/>
      <c r="BI374" s="55">
        <v>6360000</v>
      </c>
      <c r="BJ374" s="55"/>
      <c r="BK374" s="63"/>
      <c r="BL374" s="111">
        <v>152366.13134399999</v>
      </c>
      <c r="BM374" s="62">
        <f t="shared" si="111"/>
        <v>6512366.1313439999</v>
      </c>
      <c r="BN374" s="55">
        <v>0</v>
      </c>
      <c r="BO374" s="55">
        <v>0</v>
      </c>
      <c r="BP374" s="55">
        <v>0</v>
      </c>
      <c r="BQ374" s="55">
        <v>0</v>
      </c>
      <c r="BR374" s="55"/>
      <c r="BS374" s="55"/>
      <c r="BT374" s="55"/>
      <c r="BU374" s="55">
        <v>0</v>
      </c>
      <c r="BV374" s="55">
        <v>0</v>
      </c>
      <c r="BW374" s="55">
        <v>0</v>
      </c>
      <c r="BX374" s="55"/>
      <c r="BY374" s="55">
        <v>6360000</v>
      </c>
      <c r="BZ374" s="55"/>
      <c r="CA374" s="63"/>
      <c r="CB374" s="64">
        <v>152366.13134399999</v>
      </c>
    </row>
    <row r="375" spans="1:84" x14ac:dyDescent="0.25">
      <c r="A375" s="105">
        <f t="shared" si="116"/>
        <v>356</v>
      </c>
      <c r="B375" s="106">
        <f t="shared" si="106"/>
        <v>168</v>
      </c>
      <c r="C375" s="107" t="s">
        <v>279</v>
      </c>
      <c r="D375" s="107" t="s">
        <v>286</v>
      </c>
      <c r="E375" s="54">
        <v>1985</v>
      </c>
      <c r="F375" s="54">
        <v>2011</v>
      </c>
      <c r="G375" s="54" t="s">
        <v>64</v>
      </c>
      <c r="H375" s="54">
        <v>5</v>
      </c>
      <c r="I375" s="54">
        <v>2</v>
      </c>
      <c r="J375" s="55">
        <v>1696.6</v>
      </c>
      <c r="K375" s="55">
        <v>1532.2</v>
      </c>
      <c r="L375" s="55">
        <v>54.4</v>
      </c>
      <c r="M375" s="56">
        <v>58</v>
      </c>
      <c r="N375" s="108">
        <f t="shared" si="113"/>
        <v>549645.73751072004</v>
      </c>
      <c r="O375" s="63"/>
      <c r="P375" s="63">
        <v>209145.34</v>
      </c>
      <c r="Q375" s="63"/>
      <c r="R375" s="63">
        <v>0</v>
      </c>
      <c r="S375" s="63">
        <v>340500.39751072001</v>
      </c>
      <c r="T375" s="63"/>
      <c r="U375" s="63">
        <v>346.42993666375901</v>
      </c>
      <c r="V375" s="63">
        <v>346.42993666375901</v>
      </c>
      <c r="W375" s="109">
        <v>2023</v>
      </c>
      <c r="X375" s="6" t="e">
        <v>#REF!</v>
      </c>
      <c r="Z375" s="62">
        <f t="shared" si="114"/>
        <v>6417929.1893379986</v>
      </c>
      <c r="AA375" s="55">
        <v>2736613.71043242</v>
      </c>
      <c r="AB375" s="55">
        <v>0</v>
      </c>
      <c r="AC375" s="55">
        <v>1280803.3788694199</v>
      </c>
      <c r="AD375" s="55">
        <v>849765.59</v>
      </c>
      <c r="AE375" s="55">
        <v>511029.86662728002</v>
      </c>
      <c r="AF375" s="55"/>
      <c r="AG375" s="55">
        <v>140523.24640872001</v>
      </c>
      <c r="AH375" s="55">
        <v>0</v>
      </c>
      <c r="AI375" s="55">
        <v>0</v>
      </c>
      <c r="AJ375" s="55">
        <v>0</v>
      </c>
      <c r="AK375" s="55">
        <v>0</v>
      </c>
      <c r="AL375" s="55">
        <v>0</v>
      </c>
      <c r="AM375" s="55">
        <v>731735.25</v>
      </c>
      <c r="AN375" s="63">
        <v>56969.515599999999</v>
      </c>
      <c r="AO375" s="64">
        <v>110488.63140016</v>
      </c>
      <c r="AP375" s="61">
        <f>+N375-'Приложение №2'!E375</f>
        <v>0</v>
      </c>
      <c r="AQ375" s="6">
        <f>660207.23-R198</f>
        <v>-167382</v>
      </c>
      <c r="AR375" s="3">
        <f t="shared" si="115"/>
        <v>167382</v>
      </c>
      <c r="AS375" s="3">
        <f>+(K375*10+L375*20)*12*30-S198</f>
        <v>5556218.7424892802</v>
      </c>
      <c r="AT375" s="6">
        <f t="shared" si="112"/>
        <v>-5215718.3449785598</v>
      </c>
      <c r="AU375" s="6" t="e">
        <v>#REF!</v>
      </c>
      <c r="AV375" s="6" t="e">
        <v>#REF!</v>
      </c>
      <c r="AW375" s="62">
        <f t="shared" si="110"/>
        <v>549645.73751071992</v>
      </c>
      <c r="AX375" s="55"/>
      <c r="AY375" s="55"/>
      <c r="AZ375" s="55"/>
      <c r="BA375" s="55"/>
      <c r="BB375" s="55">
        <v>530082.84</v>
      </c>
      <c r="BC375" s="55"/>
      <c r="BD375" s="55"/>
      <c r="BE375" s="55">
        <v>0</v>
      </c>
      <c r="BF375" s="55">
        <v>0</v>
      </c>
      <c r="BG375" s="55">
        <v>0</v>
      </c>
      <c r="BH375" s="55">
        <v>0</v>
      </c>
      <c r="BI375" s="55">
        <v>0</v>
      </c>
      <c r="BJ375" s="55"/>
      <c r="BK375" s="63"/>
      <c r="BL375" s="111">
        <v>19562.897510719999</v>
      </c>
      <c r="BM375" s="62">
        <f t="shared" si="111"/>
        <v>549645.73751071992</v>
      </c>
      <c r="BN375" s="55"/>
      <c r="BO375" s="55"/>
      <c r="BP375" s="55"/>
      <c r="BQ375" s="55"/>
      <c r="BR375" s="55">
        <v>530082.84</v>
      </c>
      <c r="BS375" s="55"/>
      <c r="BT375" s="55"/>
      <c r="BU375" s="55">
        <v>0</v>
      </c>
      <c r="BV375" s="55">
        <v>0</v>
      </c>
      <c r="BW375" s="55">
        <v>0</v>
      </c>
      <c r="BX375" s="55">
        <v>0</v>
      </c>
      <c r="BY375" s="55">
        <v>0</v>
      </c>
      <c r="BZ375" s="55"/>
      <c r="CA375" s="63"/>
      <c r="CB375" s="64">
        <v>19562.897510719999</v>
      </c>
    </row>
    <row r="376" spans="1:84" s="69" customFormat="1" x14ac:dyDescent="0.25">
      <c r="A376" s="105">
        <f t="shared" si="116"/>
        <v>357</v>
      </c>
      <c r="B376" s="106">
        <f t="shared" si="106"/>
        <v>169</v>
      </c>
      <c r="C376" s="53" t="s">
        <v>447</v>
      </c>
      <c r="D376" s="53" t="s">
        <v>448</v>
      </c>
      <c r="E376" s="54" t="s">
        <v>449</v>
      </c>
      <c r="F376" s="54" t="s">
        <v>449</v>
      </c>
      <c r="G376" s="54" t="s">
        <v>64</v>
      </c>
      <c r="H376" s="54" t="s">
        <v>102</v>
      </c>
      <c r="I376" s="54" t="s">
        <v>102</v>
      </c>
      <c r="J376" s="55">
        <v>948.7</v>
      </c>
      <c r="K376" s="55">
        <v>864.8</v>
      </c>
      <c r="L376" s="55">
        <v>80.099999999999994</v>
      </c>
      <c r="M376" s="56">
        <v>31</v>
      </c>
      <c r="N376" s="112">
        <f t="shared" si="113"/>
        <v>2160845.9342427701</v>
      </c>
      <c r="O376" s="63">
        <v>0</v>
      </c>
      <c r="P376" s="63"/>
      <c r="Q376" s="63">
        <v>0</v>
      </c>
      <c r="R376" s="63">
        <v>424479.78</v>
      </c>
      <c r="S376" s="63">
        <v>1736366.15424277</v>
      </c>
      <c r="T376" s="63"/>
      <c r="U376" s="63">
        <v>7880.4985971997603</v>
      </c>
      <c r="V376" s="63">
        <v>1438.2830200640001</v>
      </c>
      <c r="W376" s="109">
        <v>2023</v>
      </c>
      <c r="X376" s="69">
        <v>192543.82</v>
      </c>
      <c r="Y376" s="69">
        <f>+(K376*9.1+L376*18.19)*12</f>
        <v>111920.38799999998</v>
      </c>
      <c r="AA376" s="70" t="e">
        <v>#REF!</v>
      </c>
      <c r="AD376" s="70" t="e">
        <v>#REF!</v>
      </c>
      <c r="AP376" s="61">
        <f>+N376-'Приложение №2'!E376</f>
        <v>0</v>
      </c>
      <c r="AQ376" s="65">
        <v>314702.28000000003</v>
      </c>
      <c r="AR376" s="3">
        <f>+(K376*10.5+L376*21)*12*0.85</f>
        <v>109777.5</v>
      </c>
      <c r="AS376" s="3">
        <f>+(K376*10.5+L376*21)*12*30-1088917.12</f>
        <v>2785582.88</v>
      </c>
      <c r="AT376" s="6">
        <f t="shared" si="112"/>
        <v>-1049216.7257572298</v>
      </c>
      <c r="AU376" s="6" t="e">
        <v>#REF!</v>
      </c>
      <c r="AV376" s="6" t="e">
        <v>#REF!</v>
      </c>
      <c r="AW376" s="110">
        <f t="shared" si="110"/>
        <v>6815055.1868583485</v>
      </c>
      <c r="AX376" s="55"/>
      <c r="AY376" s="55"/>
      <c r="AZ376" s="55"/>
      <c r="BA376" s="55"/>
      <c r="BB376" s="55"/>
      <c r="BC376" s="55"/>
      <c r="BD376" s="55"/>
      <c r="BE376" s="55"/>
      <c r="BF376" s="55"/>
      <c r="BG376" s="55"/>
      <c r="BH376" s="55"/>
      <c r="BI376" s="55">
        <v>6540166.4526155796</v>
      </c>
      <c r="BJ376" s="55">
        <v>90475.4</v>
      </c>
      <c r="BK376" s="63">
        <v>41393.14</v>
      </c>
      <c r="BL376" s="111">
        <v>143020.19424276901</v>
      </c>
      <c r="BM376" s="110">
        <f t="shared" si="111"/>
        <v>6815055.1868583485</v>
      </c>
      <c r="BN376" s="55"/>
      <c r="BO376" s="55"/>
      <c r="BP376" s="55"/>
      <c r="BQ376" s="55"/>
      <c r="BR376" s="55"/>
      <c r="BS376" s="55"/>
      <c r="BT376" s="55"/>
      <c r="BU376" s="55"/>
      <c r="BV376" s="55"/>
      <c r="BW376" s="55"/>
      <c r="BX376" s="55"/>
      <c r="BY376" s="55">
        <v>6540166.4526155796</v>
      </c>
      <c r="BZ376" s="55">
        <v>90475.4</v>
      </c>
      <c r="CA376" s="63">
        <v>41393.14</v>
      </c>
      <c r="CB376" s="64">
        <v>143020.19424276901</v>
      </c>
    </row>
    <row r="377" spans="1:84" s="69" customFormat="1" x14ac:dyDescent="0.25">
      <c r="A377" s="105">
        <f t="shared" si="116"/>
        <v>358</v>
      </c>
      <c r="B377" s="106">
        <f t="shared" si="106"/>
        <v>170</v>
      </c>
      <c r="C377" s="53" t="s">
        <v>108</v>
      </c>
      <c r="D377" s="107" t="s">
        <v>450</v>
      </c>
      <c r="E377" s="54" t="s">
        <v>451</v>
      </c>
      <c r="F377" s="54"/>
      <c r="G377" s="54" t="s">
        <v>64</v>
      </c>
      <c r="H377" s="54">
        <v>3</v>
      </c>
      <c r="I377" s="54">
        <v>3</v>
      </c>
      <c r="J377" s="55">
        <v>2064.6</v>
      </c>
      <c r="K377" s="55">
        <v>1675.2</v>
      </c>
      <c r="L377" s="55">
        <v>0</v>
      </c>
      <c r="M377" s="56">
        <v>85</v>
      </c>
      <c r="N377" s="112">
        <f t="shared" si="113"/>
        <v>19396547.59</v>
      </c>
      <c r="O377" s="55"/>
      <c r="P377" s="63">
        <v>0</v>
      </c>
      <c r="Q377" s="63"/>
      <c r="R377" s="63">
        <v>19396547.59</v>
      </c>
      <c r="S377" s="63"/>
      <c r="T377" s="55"/>
      <c r="U377" s="113">
        <f t="shared" ref="U377:V379" si="117">$N377/($K377+$L377)</f>
        <v>11578.645887058261</v>
      </c>
      <c r="V377" s="113">
        <f t="shared" si="117"/>
        <v>11578.645887058261</v>
      </c>
      <c r="W377" s="109">
        <v>2023</v>
      </c>
      <c r="AA377" s="70"/>
      <c r="AD377" s="70"/>
      <c r="AP377" s="61">
        <f>+N377-'Приложение №2'!E376</f>
        <v>17235701.65575723</v>
      </c>
      <c r="AQ377" s="73">
        <v>863803.68</v>
      </c>
      <c r="AR377" s="3">
        <f>+(K377*13.29+L377*22.52)*12*0.85</f>
        <v>227086.7616</v>
      </c>
      <c r="AS377" s="3">
        <f>+(K377*10+L377*20)*12*30</f>
        <v>6030720</v>
      </c>
      <c r="AT377" s="6">
        <f t="shared" si="112"/>
        <v>-6030720</v>
      </c>
      <c r="AW377" s="62">
        <f t="shared" si="110"/>
        <v>3508963.12</v>
      </c>
      <c r="AX377" s="62">
        <v>3508963.12</v>
      </c>
      <c r="AY377" s="62"/>
      <c r="AZ377" s="62"/>
      <c r="BA377" s="62"/>
      <c r="BB377" s="62"/>
      <c r="BC377" s="62"/>
      <c r="BD377" s="62"/>
      <c r="BE377" s="62"/>
      <c r="BF377" s="62"/>
      <c r="BG377" s="62"/>
      <c r="BH377" s="62"/>
      <c r="BI377" s="62"/>
      <c r="BJ377" s="62"/>
      <c r="BK377" s="62"/>
      <c r="BL377" s="127"/>
      <c r="BM377" s="62">
        <f t="shared" si="111"/>
        <v>3508963.12</v>
      </c>
      <c r="BN377" s="62">
        <v>3508963.12</v>
      </c>
      <c r="BO377" s="62"/>
      <c r="BP377" s="62"/>
      <c r="BQ377" s="62"/>
      <c r="BR377" s="62"/>
      <c r="BS377" s="62"/>
      <c r="BT377" s="62"/>
      <c r="BU377" s="62"/>
      <c r="BV377" s="62"/>
      <c r="BW377" s="62"/>
      <c r="BX377" s="62"/>
      <c r="BY377" s="62"/>
      <c r="BZ377" s="62"/>
      <c r="CA377" s="62"/>
      <c r="CB377" s="127"/>
      <c r="CD377" s="70"/>
    </row>
    <row r="378" spans="1:84" s="69" customFormat="1" x14ac:dyDescent="0.25">
      <c r="A378" s="105">
        <f t="shared" si="116"/>
        <v>359</v>
      </c>
      <c r="B378" s="106">
        <f t="shared" si="106"/>
        <v>171</v>
      </c>
      <c r="C378" s="53" t="s">
        <v>108</v>
      </c>
      <c r="D378" s="53" t="s">
        <v>452</v>
      </c>
      <c r="E378" s="54">
        <v>1996</v>
      </c>
      <c r="F378" s="54"/>
      <c r="G378" s="54" t="s">
        <v>64</v>
      </c>
      <c r="H378" s="54">
        <v>4</v>
      </c>
      <c r="I378" s="54">
        <v>3</v>
      </c>
      <c r="J378" s="55">
        <v>6441.2</v>
      </c>
      <c r="K378" s="55">
        <v>4463.1000000000004</v>
      </c>
      <c r="L378" s="55">
        <v>1969.2</v>
      </c>
      <c r="M378" s="56">
        <v>152</v>
      </c>
      <c r="N378" s="112">
        <f t="shared" si="113"/>
        <v>27023830.789999999</v>
      </c>
      <c r="O378" s="55"/>
      <c r="P378" s="63">
        <v>0</v>
      </c>
      <c r="Q378" s="63"/>
      <c r="R378" s="63">
        <v>27023830.789999999</v>
      </c>
      <c r="S378" s="63"/>
      <c r="T378" s="55"/>
      <c r="U378" s="113">
        <f t="shared" si="117"/>
        <v>4201.2702750182671</v>
      </c>
      <c r="V378" s="113">
        <f t="shared" si="117"/>
        <v>4201.2702750182671</v>
      </c>
      <c r="W378" s="109">
        <v>2023</v>
      </c>
      <c r="AA378" s="70"/>
      <c r="AD378" s="70"/>
      <c r="AP378" s="61">
        <f>+N378-'Приложение №2'!E377</f>
        <v>7627283.1999999993</v>
      </c>
      <c r="AQ378" s="73">
        <v>863803.68</v>
      </c>
      <c r="AR378" s="3">
        <f>+(K378*13.29+L378*22.52)*12*0.85</f>
        <v>1057342.0266</v>
      </c>
      <c r="AS378" s="3">
        <f>+(K378*10+L378*20)*12*30</f>
        <v>30245400</v>
      </c>
      <c r="AT378" s="6">
        <f t="shared" si="112"/>
        <v>-30245400</v>
      </c>
      <c r="AW378" s="62">
        <f t="shared" si="110"/>
        <v>3508963.12</v>
      </c>
      <c r="AX378" s="62">
        <v>3508963.12</v>
      </c>
      <c r="AY378" s="62"/>
      <c r="AZ378" s="62"/>
      <c r="BA378" s="62"/>
      <c r="BB378" s="62"/>
      <c r="BC378" s="62"/>
      <c r="BD378" s="62"/>
      <c r="BE378" s="62"/>
      <c r="BF378" s="62"/>
      <c r="BG378" s="62"/>
      <c r="BH378" s="62"/>
      <c r="BI378" s="62"/>
      <c r="BJ378" s="62"/>
      <c r="BK378" s="62"/>
      <c r="BL378" s="127"/>
      <c r="BM378" s="62">
        <f t="shared" si="111"/>
        <v>3508963.12</v>
      </c>
      <c r="BN378" s="62">
        <v>3508963.12</v>
      </c>
      <c r="BO378" s="62"/>
      <c r="BP378" s="62"/>
      <c r="BQ378" s="62"/>
      <c r="BR378" s="62"/>
      <c r="BS378" s="62"/>
      <c r="BT378" s="62"/>
      <c r="BU378" s="62"/>
      <c r="BV378" s="62"/>
      <c r="BW378" s="62"/>
      <c r="BX378" s="62"/>
      <c r="BY378" s="62"/>
      <c r="BZ378" s="62"/>
      <c r="CA378" s="62"/>
      <c r="CB378" s="127"/>
      <c r="CD378" s="70"/>
    </row>
    <row r="379" spans="1:84" x14ac:dyDescent="0.25">
      <c r="A379" s="105">
        <f t="shared" si="116"/>
        <v>360</v>
      </c>
      <c r="B379" s="106">
        <f t="shared" si="106"/>
        <v>172</v>
      </c>
      <c r="C379" s="53" t="s">
        <v>108</v>
      </c>
      <c r="D379" s="107" t="s">
        <v>453</v>
      </c>
      <c r="E379" s="54">
        <v>2010</v>
      </c>
      <c r="F379" s="54"/>
      <c r="G379" s="54" t="s">
        <v>64</v>
      </c>
      <c r="H379" s="54">
        <v>7</v>
      </c>
      <c r="I379" s="54">
        <v>3</v>
      </c>
      <c r="J379" s="55">
        <v>6265.3</v>
      </c>
      <c r="K379" s="55">
        <v>5329.6</v>
      </c>
      <c r="L379" s="55">
        <v>0</v>
      </c>
      <c r="M379" s="56">
        <v>208</v>
      </c>
      <c r="N379" s="112">
        <f t="shared" si="113"/>
        <v>893135.77</v>
      </c>
      <c r="O379" s="55"/>
      <c r="P379" s="63"/>
      <c r="Q379" s="63"/>
      <c r="R379" s="63">
        <v>893135.77</v>
      </c>
      <c r="S379" s="63"/>
      <c r="T379" s="63"/>
      <c r="U379" s="113">
        <f t="shared" si="117"/>
        <v>167.5802630591414</v>
      </c>
      <c r="V379" s="113">
        <f t="shared" si="117"/>
        <v>167.5802630591414</v>
      </c>
      <c r="W379" s="109">
        <v>2023</v>
      </c>
      <c r="X379" s="6" t="e">
        <v>#REF!</v>
      </c>
      <c r="Z379" s="62">
        <f>SUM(AA379:AO379)</f>
        <v>34989133.450000033</v>
      </c>
      <c r="AA379" s="55">
        <v>10381481.9758432</v>
      </c>
      <c r="AB379" s="55">
        <v>6003894.8349029999</v>
      </c>
      <c r="AC379" s="55">
        <v>6346561.3828171799</v>
      </c>
      <c r="AD379" s="55">
        <v>4839307.0097500803</v>
      </c>
      <c r="AE379" s="55">
        <v>1933204.08466836</v>
      </c>
      <c r="AF379" s="55"/>
      <c r="AG379" s="55">
        <v>515853.10536480002</v>
      </c>
      <c r="AH379" s="55">
        <v>0</v>
      </c>
      <c r="AI379" s="55">
        <v>0</v>
      </c>
      <c r="AJ379" s="55">
        <v>0</v>
      </c>
      <c r="AK379" s="55">
        <v>0</v>
      </c>
      <c r="AL379" s="55">
        <v>0</v>
      </c>
      <c r="AM379" s="55">
        <v>3962456.5101999999</v>
      </c>
      <c r="AN379" s="63">
        <v>349891.3345</v>
      </c>
      <c r="AO379" s="64">
        <v>656483.21195341996</v>
      </c>
      <c r="AP379" s="61">
        <f>+N379-'Приложение №2'!E379</f>
        <v>0</v>
      </c>
      <c r="AQ379" s="73">
        <v>3444629.27</v>
      </c>
      <c r="AR379" s="3">
        <f>+(K379*10+L379*20)*12*0.85</f>
        <v>543619.19999999995</v>
      </c>
      <c r="AS379" s="3">
        <f>+(K379*10+L379*20)*12*30</f>
        <v>19186560</v>
      </c>
      <c r="AT379" s="6">
        <f t="shared" si="112"/>
        <v>-19186560</v>
      </c>
      <c r="AU379" s="6"/>
      <c r="AV379" s="6"/>
      <c r="AW379" s="62">
        <f t="shared" si="110"/>
        <v>22137159.737415999</v>
      </c>
      <c r="AX379" s="55">
        <v>8773415.9399999995</v>
      </c>
      <c r="AY379" s="55"/>
      <c r="AZ379" s="55">
        <v>7093798.1322179995</v>
      </c>
      <c r="BA379" s="55">
        <v>5581283.073198</v>
      </c>
      <c r="BB379" s="55"/>
      <c r="BC379" s="55"/>
      <c r="BD379" s="55"/>
      <c r="BE379" s="55"/>
      <c r="BF379" s="55"/>
      <c r="BG379" s="55"/>
      <c r="BH379" s="55"/>
      <c r="BI379" s="55"/>
      <c r="BJ379" s="55">
        <v>128556.376</v>
      </c>
      <c r="BK379" s="63">
        <v>23378.916000000001</v>
      </c>
      <c r="BL379" s="111">
        <v>536727.30000000005</v>
      </c>
      <c r="BM379" s="62">
        <f t="shared" si="111"/>
        <v>17467234.881999999</v>
      </c>
      <c r="BN379" s="55">
        <v>8885029.4600000009</v>
      </c>
      <c r="BO379" s="55"/>
      <c r="BP379" s="55">
        <v>3892363.59</v>
      </c>
      <c r="BQ379" s="55">
        <v>4001179.24</v>
      </c>
      <c r="BR379" s="55"/>
      <c r="BS379" s="55"/>
      <c r="BT379" s="55"/>
      <c r="BU379" s="55"/>
      <c r="BV379" s="55"/>
      <c r="BW379" s="55"/>
      <c r="BX379" s="55"/>
      <c r="BY379" s="55"/>
      <c r="BZ379" s="55">
        <v>128556.376</v>
      </c>
      <c r="CA379" s="63">
        <v>23378.916000000001</v>
      </c>
      <c r="CB379" s="64">
        <v>536727.30000000005</v>
      </c>
      <c r="CD379" s="130"/>
      <c r="CE379" s="117"/>
      <c r="CF379" s="117"/>
    </row>
    <row r="380" spans="1:84" s="150" customFormat="1" ht="20.25" customHeight="1" x14ac:dyDescent="0.25">
      <c r="A380" s="151"/>
      <c r="B380" s="151"/>
      <c r="C380" s="89"/>
      <c r="D380" s="90" t="s">
        <v>454</v>
      </c>
      <c r="E380" s="91"/>
      <c r="F380" s="91"/>
      <c r="G380" s="91"/>
      <c r="H380" s="91"/>
      <c r="I380" s="91"/>
      <c r="J380" s="92">
        <f>SUM(J382:J397, J399, J401:J404, J406:J408, J410, J413, J418, J419:J422, J431, J436, J438:J451, J454:J457, J460:J462, J465:J466, J469:J480)</f>
        <v>236974.00999999998</v>
      </c>
      <c r="K380" s="92">
        <f>SUM(K382:K397, K399, K401:K404, K406:K408, K410, K413, K418, K419:K422, K431, K436, K438:K451, K454:K457, K460:K462, K465:K466, K469:K480)</f>
        <v>199958.28999999995</v>
      </c>
      <c r="L380" s="92">
        <f>SUM(L382:L397, L399, L401:L404, L406:L408, L410, L413, L418, L419:L422, L431, L436, L438:L451, L454:L457, L460:L462, L465:L466, L469:L480)</f>
        <v>9231.2200000000012</v>
      </c>
      <c r="M380" s="92">
        <f>SUM(M382:M397, M399, M401:M404, M406:M408, M410, M413, M418, M419:M422, M431, M436, M438:M451, M454:M457, M460:M462, M465:M466, M469:M480)</f>
        <v>8458</v>
      </c>
      <c r="N380" s="92">
        <f>SUM(N381:N480)</f>
        <v>815667519.3324666</v>
      </c>
      <c r="O380" s="95"/>
      <c r="P380" s="152">
        <f>SUM(P381:P480)</f>
        <v>307357757.00128555</v>
      </c>
      <c r="Q380" s="92">
        <f>SUM(Q381:Q480)</f>
        <v>3047133.36</v>
      </c>
      <c r="R380" s="92">
        <f>SUM(R381:R480)</f>
        <v>113471987.40253817</v>
      </c>
      <c r="S380" s="92">
        <f>SUM(S381:S480)</f>
        <v>363790641.56864285</v>
      </c>
      <c r="T380" s="92">
        <f>SUM(T381:T480)</f>
        <v>28000000</v>
      </c>
      <c r="U380" s="95"/>
      <c r="V380" s="95"/>
      <c r="W380" s="153"/>
      <c r="AA380" s="154"/>
      <c r="AD380" s="154"/>
      <c r="AP380" s="155"/>
      <c r="AQ380" s="156"/>
      <c r="AR380" s="157"/>
      <c r="AS380" s="157"/>
      <c r="AT380" s="158"/>
      <c r="AU380" s="158"/>
      <c r="AV380" s="158"/>
      <c r="AW380" s="159"/>
      <c r="AX380" s="160"/>
      <c r="AY380" s="160"/>
      <c r="AZ380" s="160"/>
      <c r="BA380" s="160"/>
      <c r="BB380" s="160"/>
      <c r="BC380" s="160"/>
      <c r="BD380" s="160"/>
      <c r="BE380" s="160"/>
      <c r="BF380" s="160"/>
      <c r="BG380" s="160"/>
      <c r="BH380" s="160"/>
      <c r="BI380" s="160"/>
      <c r="BJ380" s="160"/>
      <c r="BK380" s="95"/>
      <c r="BL380" s="161"/>
      <c r="BM380" s="159"/>
      <c r="BN380" s="160"/>
      <c r="BO380" s="160"/>
      <c r="BP380" s="160"/>
      <c r="BQ380" s="160"/>
      <c r="BR380" s="160"/>
      <c r="BS380" s="160"/>
      <c r="BT380" s="160"/>
      <c r="BU380" s="160"/>
      <c r="BV380" s="160"/>
      <c r="BW380" s="160"/>
      <c r="BX380" s="160"/>
      <c r="BY380" s="160"/>
      <c r="BZ380" s="160"/>
      <c r="CA380" s="95"/>
      <c r="CB380" s="161"/>
      <c r="CD380" s="162"/>
    </row>
    <row r="381" spans="1:84" s="69" customFormat="1" x14ac:dyDescent="0.25">
      <c r="A381" s="105">
        <v>361</v>
      </c>
      <c r="B381" s="107" t="s">
        <v>455</v>
      </c>
      <c r="C381" s="53" t="s">
        <v>62</v>
      </c>
      <c r="D381" s="53" t="s">
        <v>63</v>
      </c>
      <c r="E381" s="54" t="s">
        <v>303</v>
      </c>
      <c r="F381" s="54"/>
      <c r="G381" s="54" t="s">
        <v>64</v>
      </c>
      <c r="H381" s="54" t="s">
        <v>101</v>
      </c>
      <c r="I381" s="54" t="s">
        <v>185</v>
      </c>
      <c r="J381" s="55">
        <v>5474.4</v>
      </c>
      <c r="K381" s="55">
        <v>4591</v>
      </c>
      <c r="L381" s="55">
        <v>74.8</v>
      </c>
      <c r="M381" s="56">
        <v>142</v>
      </c>
      <c r="N381" s="112">
        <f t="shared" ref="N381:N412" si="118">+P381+Q381+R381+S381+T381</f>
        <v>25989519.583614197</v>
      </c>
      <c r="O381" s="55">
        <v>0</v>
      </c>
      <c r="P381" s="63">
        <v>22389591.239999998</v>
      </c>
      <c r="Q381" s="63">
        <v>0</v>
      </c>
      <c r="R381" s="63"/>
      <c r="S381" s="63">
        <v>1112195.9836142</v>
      </c>
      <c r="T381" s="55">
        <v>2487732.36</v>
      </c>
      <c r="U381" s="63">
        <v>5340.65199143063</v>
      </c>
      <c r="V381" s="63">
        <v>1182.2830200640001</v>
      </c>
      <c r="W381" s="59">
        <v>2023</v>
      </c>
      <c r="X381" s="69">
        <v>1911755.57</v>
      </c>
      <c r="Y381" s="69">
        <f>+(K381*9.1+L381*18.19)*12</f>
        <v>517664.54399999999</v>
      </c>
      <c r="AA381" s="70" t="e">
        <v>#REF!</v>
      </c>
      <c r="AD381" s="70" t="e">
        <v>#REF!</v>
      </c>
      <c r="AP381" s="61" t="e">
        <f>+N381-#REF!</f>
        <v>#REF!</v>
      </c>
      <c r="AQ381" s="114">
        <f>2359832.72-R211</f>
        <v>1627321.0999999992</v>
      </c>
      <c r="AR381" s="3">
        <f>+(K381*10+L381*20)*12*0.85</f>
        <v>483541.2</v>
      </c>
      <c r="AS381" s="3">
        <f>+(K381*10+L381*20)*12*30-S211</f>
        <v>16180183.907</v>
      </c>
      <c r="AT381" s="6">
        <f t="shared" ref="AT381:AT412" si="119">+S381-AS381</f>
        <v>-15067987.923385799</v>
      </c>
      <c r="AU381" s="6" t="e">
        <v>#REF!</v>
      </c>
      <c r="AV381" s="6" t="e">
        <v>#REF!</v>
      </c>
      <c r="AW381" s="62">
        <f t="shared" ref="AW381:AW412" si="120">SUBTOTAL(9, AX381:BL381)</f>
        <v>24518933.292657994</v>
      </c>
      <c r="AX381" s="55"/>
      <c r="AY381" s="55"/>
      <c r="AZ381" s="55"/>
      <c r="BA381" s="55">
        <v>0</v>
      </c>
      <c r="BB381" s="55">
        <v>0</v>
      </c>
      <c r="BC381" s="55"/>
      <c r="BD381" s="55">
        <v>0</v>
      </c>
      <c r="BE381" s="55">
        <v>0</v>
      </c>
      <c r="BF381" s="55">
        <v>0</v>
      </c>
      <c r="BG381" s="55">
        <v>0</v>
      </c>
      <c r="BH381" s="55">
        <v>23029662.709043801</v>
      </c>
      <c r="BI381" s="55"/>
      <c r="BJ381" s="55">
        <v>840138.45</v>
      </c>
      <c r="BK381" s="63"/>
      <c r="BL381" s="64">
        <v>649132.133614194</v>
      </c>
      <c r="BM381" s="62">
        <f t="shared" ref="BM381:BM412" si="121">SUBTOTAL(9, BN381:CB381)</f>
        <v>24518933.292657994</v>
      </c>
      <c r="BN381" s="55"/>
      <c r="BO381" s="55"/>
      <c r="BP381" s="55"/>
      <c r="BQ381" s="55">
        <v>0</v>
      </c>
      <c r="BR381" s="55">
        <v>0</v>
      </c>
      <c r="BS381" s="55"/>
      <c r="BT381" s="55">
        <v>0</v>
      </c>
      <c r="BU381" s="55">
        <v>0</v>
      </c>
      <c r="BV381" s="55">
        <v>0</v>
      </c>
      <c r="BW381" s="55">
        <v>0</v>
      </c>
      <c r="BX381" s="55">
        <v>23029662.709043801</v>
      </c>
      <c r="BY381" s="55"/>
      <c r="BZ381" s="55">
        <v>840138.45</v>
      </c>
      <c r="CA381" s="63"/>
      <c r="CB381" s="64">
        <v>649132.133614194</v>
      </c>
      <c r="CD381" s="115"/>
      <c r="CE381" s="116"/>
      <c r="CF381" s="116"/>
    </row>
    <row r="382" spans="1:84" x14ac:dyDescent="0.25">
      <c r="A382" s="105">
        <f t="shared" ref="A382:A413" si="122">+A381+1</f>
        <v>362</v>
      </c>
      <c r="B382" s="107">
        <v>173</v>
      </c>
      <c r="C382" s="53" t="s">
        <v>71</v>
      </c>
      <c r="D382" s="53" t="s">
        <v>456</v>
      </c>
      <c r="E382" s="54">
        <v>1998</v>
      </c>
      <c r="F382" s="54">
        <v>1998</v>
      </c>
      <c r="G382" s="54" t="s">
        <v>64</v>
      </c>
      <c r="H382" s="54">
        <v>5</v>
      </c>
      <c r="I382" s="54">
        <v>4</v>
      </c>
      <c r="J382" s="55">
        <v>4979.8</v>
      </c>
      <c r="K382" s="55">
        <v>4317.2</v>
      </c>
      <c r="L382" s="55">
        <v>0</v>
      </c>
      <c r="M382" s="56">
        <v>170</v>
      </c>
      <c r="N382" s="112">
        <f t="shared" si="118"/>
        <v>2603243.4318963401</v>
      </c>
      <c r="O382" s="55"/>
      <c r="P382" s="63">
        <v>179287.61</v>
      </c>
      <c r="Q382" s="63"/>
      <c r="R382" s="63">
        <v>149801.63</v>
      </c>
      <c r="S382" s="63">
        <v>2067061.9518963399</v>
      </c>
      <c r="T382" s="63">
        <v>207092.24</v>
      </c>
      <c r="U382" s="63">
        <v>5983.4926343375801</v>
      </c>
      <c r="V382" s="63">
        <v>1180.2830200640001</v>
      </c>
      <c r="W382" s="59">
        <v>2023</v>
      </c>
      <c r="X382" s="6" t="e">
        <v>#REF!</v>
      </c>
      <c r="Z382" s="62">
        <f t="shared" ref="Z382:Z400" si="123">SUM(AA382:AO382)</f>
        <v>27698101.323736921</v>
      </c>
      <c r="AA382" s="55">
        <v>12131968.2109069</v>
      </c>
      <c r="AB382" s="55">
        <v>5844352.9357768297</v>
      </c>
      <c r="AC382" s="55">
        <v>3569164.9191403301</v>
      </c>
      <c r="AD382" s="55">
        <v>2405162.55785621</v>
      </c>
      <c r="AE382" s="55">
        <v>0</v>
      </c>
      <c r="AF382" s="55"/>
      <c r="AG382" s="55">
        <v>391844.91901863401</v>
      </c>
      <c r="AH382" s="55">
        <v>0</v>
      </c>
      <c r="AI382" s="55">
        <v>0</v>
      </c>
      <c r="AJ382" s="55">
        <v>0</v>
      </c>
      <c r="AK382" s="55">
        <v>0</v>
      </c>
      <c r="AL382" s="55">
        <v>0</v>
      </c>
      <c r="AM382" s="55">
        <v>2546305.7359043099</v>
      </c>
      <c r="AN382" s="63">
        <v>276981.01323736901</v>
      </c>
      <c r="AO382" s="64">
        <v>532321.03189633798</v>
      </c>
      <c r="AP382" s="61">
        <f>+N382-'Приложение №2'!E382</f>
        <v>0</v>
      </c>
      <c r="AQ382" s="1">
        <f>2564742.71-1318564.22</f>
        <v>1246178.49</v>
      </c>
      <c r="AR382" s="3">
        <f>+(K382*10.5+L382*21)*12*0.85</f>
        <v>462372.11999999994</v>
      </c>
      <c r="AS382" s="3">
        <f>+(K382*10.5+L382*21)*12*30</f>
        <v>16319015.999999998</v>
      </c>
      <c r="AT382" s="6">
        <f t="shared" si="119"/>
        <v>-14251954.048103658</v>
      </c>
      <c r="AU382" s="6" t="e">
        <v>#REF!</v>
      </c>
      <c r="AV382" s="6" t="e">
        <v>#REF!</v>
      </c>
      <c r="AW382" s="110">
        <f t="shared" si="120"/>
        <v>25831934.400962204</v>
      </c>
      <c r="AX382" s="55">
        <v>12131968.2109069</v>
      </c>
      <c r="AY382" s="55">
        <v>6473660.0199999996</v>
      </c>
      <c r="AZ382" s="55">
        <v>3569164.9191403301</v>
      </c>
      <c r="BA382" s="55">
        <v>2732975.3</v>
      </c>
      <c r="BB382" s="55">
        <v>0</v>
      </c>
      <c r="BC382" s="55"/>
      <c r="BD382" s="55">
        <v>391844.91901863401</v>
      </c>
      <c r="BE382" s="55">
        <v>0</v>
      </c>
      <c r="BF382" s="55">
        <v>0</v>
      </c>
      <c r="BG382" s="55">
        <v>0</v>
      </c>
      <c r="BH382" s="55">
        <v>0</v>
      </c>
      <c r="BI382" s="55">
        <v>0</v>
      </c>
      <c r="BJ382" s="55"/>
      <c r="BK382" s="63"/>
      <c r="BL382" s="111">
        <v>532321.03189633798</v>
      </c>
      <c r="BM382" s="110">
        <f t="shared" si="121"/>
        <v>25831934.400962204</v>
      </c>
      <c r="BN382" s="55">
        <v>12131968.2109069</v>
      </c>
      <c r="BO382" s="55">
        <v>6473660.0199999996</v>
      </c>
      <c r="BP382" s="55">
        <v>3569164.9191403301</v>
      </c>
      <c r="BQ382" s="55">
        <v>2732975.3</v>
      </c>
      <c r="BR382" s="55">
        <v>0</v>
      </c>
      <c r="BS382" s="55"/>
      <c r="BT382" s="55">
        <v>391844.91901863401</v>
      </c>
      <c r="BU382" s="55">
        <v>0</v>
      </c>
      <c r="BV382" s="55">
        <v>0</v>
      </c>
      <c r="BW382" s="55">
        <v>0</v>
      </c>
      <c r="BX382" s="55">
        <v>0</v>
      </c>
      <c r="BY382" s="55">
        <v>0</v>
      </c>
      <c r="BZ382" s="55"/>
      <c r="CA382" s="63"/>
      <c r="CB382" s="64">
        <v>532321.03189633798</v>
      </c>
      <c r="CD382" s="6"/>
    </row>
    <row r="383" spans="1:84" x14ac:dyDescent="0.25">
      <c r="A383" s="105">
        <f t="shared" si="122"/>
        <v>363</v>
      </c>
      <c r="B383" s="106">
        <f t="shared" ref="B383:B397" si="124">+B382+1</f>
        <v>174</v>
      </c>
      <c r="C383" s="53" t="s">
        <v>71</v>
      </c>
      <c r="D383" s="53" t="s">
        <v>72</v>
      </c>
      <c r="E383" s="54">
        <v>1993</v>
      </c>
      <c r="F383" s="54">
        <v>2012</v>
      </c>
      <c r="G383" s="54" t="s">
        <v>64</v>
      </c>
      <c r="H383" s="54">
        <v>3</v>
      </c>
      <c r="I383" s="54">
        <v>1</v>
      </c>
      <c r="J383" s="55">
        <v>1090</v>
      </c>
      <c r="K383" s="55">
        <v>942.47</v>
      </c>
      <c r="L383" s="55">
        <v>0</v>
      </c>
      <c r="M383" s="56">
        <v>33</v>
      </c>
      <c r="N383" s="112">
        <f t="shared" si="118"/>
        <v>707357.13259306794</v>
      </c>
      <c r="O383" s="55"/>
      <c r="P383" s="63"/>
      <c r="Q383" s="63"/>
      <c r="R383" s="63">
        <v>592092.87</v>
      </c>
      <c r="S383" s="63">
        <v>115264.26259306799</v>
      </c>
      <c r="T383" s="63"/>
      <c r="U383" s="63">
        <v>840.68258183816999</v>
      </c>
      <c r="V383" s="63">
        <v>1185.2830200640001</v>
      </c>
      <c r="W383" s="59">
        <v>2023</v>
      </c>
      <c r="X383" s="6" t="e">
        <v>#REF!</v>
      </c>
      <c r="Z383" s="62">
        <f t="shared" si="123"/>
        <v>1353938.3335295999</v>
      </c>
      <c r="AA383" s="55">
        <v>0</v>
      </c>
      <c r="AB383" s="55">
        <v>0</v>
      </c>
      <c r="AC383" s="55">
        <v>766834.98031195195</v>
      </c>
      <c r="AD383" s="55">
        <v>398482.47555610002</v>
      </c>
      <c r="AE383" s="55">
        <v>0</v>
      </c>
      <c r="AF383" s="55"/>
      <c r="AG383" s="55">
        <v>0</v>
      </c>
      <c r="AH383" s="55">
        <v>0</v>
      </c>
      <c r="AI383" s="55">
        <v>0</v>
      </c>
      <c r="AJ383" s="55">
        <v>0</v>
      </c>
      <c r="AK383" s="55">
        <v>0</v>
      </c>
      <c r="AL383" s="55">
        <v>0</v>
      </c>
      <c r="AM383" s="55">
        <v>149598.36173318399</v>
      </c>
      <c r="AN383" s="63">
        <v>13539.383335295999</v>
      </c>
      <c r="AO383" s="64">
        <v>25483.132593068</v>
      </c>
      <c r="AP383" s="61">
        <f>+N383-'Приложение №2'!E383</f>
        <v>0</v>
      </c>
      <c r="AQ383" s="6">
        <f>604232.6-R24</f>
        <v>491154.33532301197</v>
      </c>
      <c r="AR383" s="3">
        <f>+(K383*10.5+L383*21)*12*0.85</f>
        <v>100938.537</v>
      </c>
      <c r="AS383" s="3">
        <f>+(K383*10.5+L383*21)*12*30</f>
        <v>3562536.6</v>
      </c>
      <c r="AT383" s="6">
        <f t="shared" si="119"/>
        <v>-3447272.3374069319</v>
      </c>
      <c r="AU383" s="6" t="e">
        <v>#REF!</v>
      </c>
      <c r="AV383" s="6" t="e">
        <v>#REF!</v>
      </c>
      <c r="AW383" s="110">
        <f t="shared" si="120"/>
        <v>792318.11290501989</v>
      </c>
      <c r="AX383" s="55">
        <v>0</v>
      </c>
      <c r="AY383" s="55">
        <v>0</v>
      </c>
      <c r="AZ383" s="55">
        <v>766834.98031195195</v>
      </c>
      <c r="BA383" s="55"/>
      <c r="BB383" s="55">
        <v>0</v>
      </c>
      <c r="BC383" s="55"/>
      <c r="BD383" s="55"/>
      <c r="BE383" s="55">
        <v>0</v>
      </c>
      <c r="BF383" s="55">
        <v>0</v>
      </c>
      <c r="BG383" s="55">
        <v>0</v>
      </c>
      <c r="BH383" s="55">
        <v>0</v>
      </c>
      <c r="BI383" s="55">
        <v>0</v>
      </c>
      <c r="BJ383" s="55"/>
      <c r="BK383" s="63"/>
      <c r="BL383" s="111">
        <v>25483.132593068</v>
      </c>
      <c r="BM383" s="110">
        <f t="shared" si="121"/>
        <v>792318.11290501989</v>
      </c>
      <c r="BN383" s="55">
        <v>0</v>
      </c>
      <c r="BO383" s="55">
        <v>0</v>
      </c>
      <c r="BP383" s="55">
        <v>766834.98031195195</v>
      </c>
      <c r="BQ383" s="55"/>
      <c r="BR383" s="55">
        <v>0</v>
      </c>
      <c r="BS383" s="55"/>
      <c r="BT383" s="55"/>
      <c r="BU383" s="55">
        <v>0</v>
      </c>
      <c r="BV383" s="55">
        <v>0</v>
      </c>
      <c r="BW383" s="55">
        <v>0</v>
      </c>
      <c r="BX383" s="55">
        <v>0</v>
      </c>
      <c r="BY383" s="55">
        <v>0</v>
      </c>
      <c r="BZ383" s="55"/>
      <c r="CA383" s="63"/>
      <c r="CB383" s="64">
        <v>25483.132593068</v>
      </c>
    </row>
    <row r="384" spans="1:84" x14ac:dyDescent="0.25">
      <c r="A384" s="105">
        <f t="shared" si="122"/>
        <v>364</v>
      </c>
      <c r="B384" s="106">
        <f t="shared" si="124"/>
        <v>175</v>
      </c>
      <c r="C384" s="53" t="s">
        <v>71</v>
      </c>
      <c r="D384" s="53" t="s">
        <v>457</v>
      </c>
      <c r="E384" s="54">
        <v>1996</v>
      </c>
      <c r="F384" s="54">
        <v>1996</v>
      </c>
      <c r="G384" s="54" t="s">
        <v>64</v>
      </c>
      <c r="H384" s="54">
        <v>5</v>
      </c>
      <c r="I384" s="54">
        <v>4</v>
      </c>
      <c r="J384" s="55">
        <v>3635.6</v>
      </c>
      <c r="K384" s="55">
        <v>3076.7</v>
      </c>
      <c r="L384" s="55">
        <v>0</v>
      </c>
      <c r="M384" s="56">
        <v>99</v>
      </c>
      <c r="N384" s="112">
        <f t="shared" si="118"/>
        <v>7232824.4165202305</v>
      </c>
      <c r="O384" s="55"/>
      <c r="P384" s="63">
        <v>3341930.6387128299</v>
      </c>
      <c r="Q384" s="63"/>
      <c r="R384" s="63">
        <v>576501.1</v>
      </c>
      <c r="S384" s="63">
        <v>2630101.1978074</v>
      </c>
      <c r="T384" s="63">
        <v>684291.48</v>
      </c>
      <c r="U384" s="63">
        <v>5280.8963156066602</v>
      </c>
      <c r="V384" s="63">
        <v>1182.2830200640001</v>
      </c>
      <c r="W384" s="59">
        <v>2023</v>
      </c>
      <c r="X384" s="6" t="e">
        <v>#REF!</v>
      </c>
      <c r="Z384" s="62">
        <f t="shared" si="123"/>
        <v>19793523.878556486</v>
      </c>
      <c r="AA384" s="55">
        <v>8669706.2614425998</v>
      </c>
      <c r="AB384" s="55">
        <v>4176471.8107184502</v>
      </c>
      <c r="AC384" s="55">
        <v>2550584.6132842102</v>
      </c>
      <c r="AD384" s="55">
        <v>1718769.1663160501</v>
      </c>
      <c r="AE384" s="55">
        <v>0</v>
      </c>
      <c r="AF384" s="55"/>
      <c r="AG384" s="55">
        <v>280018.89626418502</v>
      </c>
      <c r="AH384" s="55">
        <v>0</v>
      </c>
      <c r="AI384" s="55">
        <v>0</v>
      </c>
      <c r="AJ384" s="55">
        <v>0</v>
      </c>
      <c r="AK384" s="55">
        <v>0</v>
      </c>
      <c r="AL384" s="55">
        <v>0</v>
      </c>
      <c r="AM384" s="55">
        <v>1819632.42883132</v>
      </c>
      <c r="AN384" s="63">
        <v>197935.23878556499</v>
      </c>
      <c r="AO384" s="64">
        <v>380405.46291410702</v>
      </c>
      <c r="AP384" s="61">
        <f>+N384-'Приложение №2'!E384</f>
        <v>0</v>
      </c>
      <c r="AQ384" s="1">
        <v>1855261.06</v>
      </c>
      <c r="AR384" s="3">
        <f>+(K384*10.5+L384*21)*12*0.85</f>
        <v>329514.56999999995</v>
      </c>
      <c r="AS384" s="3">
        <f>+(K384*10.5+L384*21)*12*30</f>
        <v>11629925.999999998</v>
      </c>
      <c r="AT384" s="6">
        <f t="shared" si="119"/>
        <v>-8999824.8021925986</v>
      </c>
      <c r="AU384" s="6" t="e">
        <v>#REF!</v>
      </c>
      <c r="AV384" s="6" t="e">
        <v>#REF!</v>
      </c>
      <c r="AW384" s="110">
        <f t="shared" si="120"/>
        <v>16247733.694227016</v>
      </c>
      <c r="AX384" s="55">
        <v>8669706.2614425998</v>
      </c>
      <c r="AY384" s="55">
        <v>4584326.74</v>
      </c>
      <c r="AZ384" s="55"/>
      <c r="BA384" s="55">
        <v>2323772.17</v>
      </c>
      <c r="BB384" s="55">
        <v>0</v>
      </c>
      <c r="BC384" s="55"/>
      <c r="BD384" s="55">
        <v>280018.89626418502</v>
      </c>
      <c r="BE384" s="55">
        <v>0</v>
      </c>
      <c r="BF384" s="55">
        <v>0</v>
      </c>
      <c r="BG384" s="55">
        <v>0</v>
      </c>
      <c r="BH384" s="55">
        <v>0</v>
      </c>
      <c r="BI384" s="55">
        <v>0</v>
      </c>
      <c r="BJ384" s="55"/>
      <c r="BK384" s="63"/>
      <c r="BL384" s="111">
        <v>389909.62652023102</v>
      </c>
      <c r="BM384" s="110">
        <f t="shared" si="121"/>
        <v>16247733.694227016</v>
      </c>
      <c r="BN384" s="55">
        <v>8669706.2614425998</v>
      </c>
      <c r="BO384" s="55">
        <v>4584326.74</v>
      </c>
      <c r="BP384" s="55"/>
      <c r="BQ384" s="55">
        <v>2323772.17</v>
      </c>
      <c r="BR384" s="55">
        <v>0</v>
      </c>
      <c r="BS384" s="55"/>
      <c r="BT384" s="55">
        <v>280018.89626418502</v>
      </c>
      <c r="BU384" s="55">
        <v>0</v>
      </c>
      <c r="BV384" s="55">
        <v>0</v>
      </c>
      <c r="BW384" s="55">
        <v>0</v>
      </c>
      <c r="BX384" s="55">
        <v>0</v>
      </c>
      <c r="BY384" s="55">
        <v>0</v>
      </c>
      <c r="BZ384" s="55"/>
      <c r="CA384" s="63"/>
      <c r="CB384" s="64">
        <v>389909.62652023102</v>
      </c>
      <c r="CD384" s="3"/>
      <c r="CE384" s="3"/>
    </row>
    <row r="385" spans="1:83" x14ac:dyDescent="0.25">
      <c r="A385" s="105">
        <f t="shared" si="122"/>
        <v>365</v>
      </c>
      <c r="B385" s="106">
        <f t="shared" si="124"/>
        <v>176</v>
      </c>
      <c r="C385" s="53" t="s">
        <v>75</v>
      </c>
      <c r="D385" s="53" t="s">
        <v>458</v>
      </c>
      <c r="E385" s="54">
        <v>1985</v>
      </c>
      <c r="F385" s="54">
        <v>2017</v>
      </c>
      <c r="G385" s="54" t="s">
        <v>64</v>
      </c>
      <c r="H385" s="54">
        <v>9</v>
      </c>
      <c r="I385" s="54">
        <v>5</v>
      </c>
      <c r="J385" s="55">
        <v>13256</v>
      </c>
      <c r="K385" s="55">
        <v>10326.299999999999</v>
      </c>
      <c r="L385" s="55">
        <v>160.4</v>
      </c>
      <c r="M385" s="56">
        <v>409</v>
      </c>
      <c r="N385" s="112">
        <f t="shared" si="118"/>
        <v>7115592.3405379206</v>
      </c>
      <c r="O385" s="55"/>
      <c r="P385" s="63"/>
      <c r="Q385" s="63"/>
      <c r="R385" s="63">
        <v>5907788.6500000004</v>
      </c>
      <c r="S385" s="63">
        <v>1207803.69053792</v>
      </c>
      <c r="T385" s="63"/>
      <c r="U385" s="55">
        <v>3446.0015989930198</v>
      </c>
      <c r="V385" s="55">
        <v>3446.0015989930198</v>
      </c>
      <c r="W385" s="59">
        <v>2023</v>
      </c>
      <c r="X385" s="6" t="e">
        <v>#REF!</v>
      </c>
      <c r="Z385" s="62">
        <f t="shared" si="123"/>
        <v>37665450.361499541</v>
      </c>
      <c r="AA385" s="55">
        <v>24967938.103438001</v>
      </c>
      <c r="AB385" s="55">
        <v>0</v>
      </c>
      <c r="AC385" s="55">
        <v>7378265.4321645703</v>
      </c>
      <c r="AD385" s="55">
        <v>0</v>
      </c>
      <c r="AE385" s="55">
        <v>0</v>
      </c>
      <c r="AF385" s="55"/>
      <c r="AG385" s="55">
        <v>1109290.64124894</v>
      </c>
      <c r="AH385" s="55">
        <v>0</v>
      </c>
      <c r="AI385" s="55">
        <v>0</v>
      </c>
      <c r="AJ385" s="55">
        <v>0</v>
      </c>
      <c r="AK385" s="55">
        <v>0</v>
      </c>
      <c r="AL385" s="55">
        <v>0</v>
      </c>
      <c r="AM385" s="55">
        <v>3101697.78221368</v>
      </c>
      <c r="AN385" s="63">
        <v>376654.50361499499</v>
      </c>
      <c r="AO385" s="64">
        <v>731603.89881935599</v>
      </c>
      <c r="AP385" s="61">
        <f>+N385-'Приложение №2'!E373</f>
        <v>5868197.8792508002</v>
      </c>
      <c r="AQ385" s="1">
        <v>6376950.8499999996</v>
      </c>
      <c r="AR385" s="3">
        <f>+(K385*13.29+L385*22.52)*12*0.85</f>
        <v>1436657.0969999998</v>
      </c>
      <c r="AS385" s="3">
        <f>+(K385*13.29+L385*22.52)*12*30</f>
        <v>50705544.599999994</v>
      </c>
      <c r="AT385" s="6">
        <f t="shared" si="119"/>
        <v>-49497740.909462072</v>
      </c>
      <c r="AU385" s="6" t="e">
        <v>#REF!</v>
      </c>
      <c r="AV385" s="6" t="e">
        <v>#REF!</v>
      </c>
      <c r="AW385" s="62">
        <f t="shared" si="120"/>
        <v>36137184.968160085</v>
      </c>
      <c r="AX385" s="55">
        <v>26584018.179887</v>
      </c>
      <c r="AY385" s="55">
        <v>0</v>
      </c>
      <c r="AZ385" s="55">
        <v>7688281.3864862304</v>
      </c>
      <c r="BA385" s="55">
        <v>0</v>
      </c>
      <c r="BB385" s="55">
        <v>0</v>
      </c>
      <c r="BC385" s="55"/>
      <c r="BD385" s="55">
        <v>1109290.64124894</v>
      </c>
      <c r="BE385" s="55">
        <v>0</v>
      </c>
      <c r="BF385" s="55">
        <v>0</v>
      </c>
      <c r="BG385" s="55">
        <v>0</v>
      </c>
      <c r="BH385" s="55">
        <v>0</v>
      </c>
      <c r="BI385" s="55">
        <v>0</v>
      </c>
      <c r="BJ385" s="55"/>
      <c r="BK385" s="63"/>
      <c r="BL385" s="64">
        <v>755594.76053791505</v>
      </c>
      <c r="BM385" s="62">
        <f t="shared" si="121"/>
        <v>36137184.968160085</v>
      </c>
      <c r="BN385" s="55">
        <v>26584018.179887</v>
      </c>
      <c r="BO385" s="55">
        <v>0</v>
      </c>
      <c r="BP385" s="55">
        <v>7688281.3864862304</v>
      </c>
      <c r="BQ385" s="55">
        <v>0</v>
      </c>
      <c r="BR385" s="55">
        <v>0</v>
      </c>
      <c r="BS385" s="55"/>
      <c r="BT385" s="55">
        <v>1109290.64124894</v>
      </c>
      <c r="BU385" s="55">
        <v>0</v>
      </c>
      <c r="BV385" s="55">
        <v>0</v>
      </c>
      <c r="BW385" s="55">
        <v>0</v>
      </c>
      <c r="BX385" s="55">
        <v>0</v>
      </c>
      <c r="BY385" s="55">
        <v>0</v>
      </c>
      <c r="BZ385" s="55"/>
      <c r="CA385" s="63"/>
      <c r="CB385" s="64">
        <v>755594.76053791505</v>
      </c>
      <c r="CD385" s="3"/>
      <c r="CE385" s="6"/>
    </row>
    <row r="386" spans="1:83" x14ac:dyDescent="0.25">
      <c r="A386" s="105">
        <f t="shared" si="122"/>
        <v>366</v>
      </c>
      <c r="B386" s="106">
        <f t="shared" si="124"/>
        <v>177</v>
      </c>
      <c r="C386" s="53" t="s">
        <v>75</v>
      </c>
      <c r="D386" s="53" t="s">
        <v>459</v>
      </c>
      <c r="E386" s="54">
        <v>1987</v>
      </c>
      <c r="F386" s="54">
        <v>2017</v>
      </c>
      <c r="G386" s="54" t="s">
        <v>64</v>
      </c>
      <c r="H386" s="54">
        <v>9</v>
      </c>
      <c r="I386" s="54">
        <v>5</v>
      </c>
      <c r="J386" s="55">
        <v>12250.3</v>
      </c>
      <c r="K386" s="55">
        <v>9272.2999999999993</v>
      </c>
      <c r="L386" s="55">
        <v>330.7</v>
      </c>
      <c r="M386" s="56">
        <v>376</v>
      </c>
      <c r="N386" s="112">
        <f t="shared" si="118"/>
        <v>17968962.835461698</v>
      </c>
      <c r="O386" s="55"/>
      <c r="P386" s="63"/>
      <c r="Q386" s="63"/>
      <c r="R386" s="63">
        <v>1626098.94</v>
      </c>
      <c r="S386" s="63">
        <v>14723056.9254617</v>
      </c>
      <c r="T386" s="63">
        <v>1619806.97</v>
      </c>
      <c r="U386" s="63">
        <v>1763.22550636813</v>
      </c>
      <c r="V386" s="63">
        <v>1189.2830200640001</v>
      </c>
      <c r="W386" s="59">
        <v>2023</v>
      </c>
      <c r="X386" s="6" t="e">
        <v>#REF!</v>
      </c>
      <c r="Z386" s="62">
        <f t="shared" si="123"/>
        <v>18369838.047974408</v>
      </c>
      <c r="AA386" s="55">
        <v>0</v>
      </c>
      <c r="AB386" s="55">
        <v>0</v>
      </c>
      <c r="AC386" s="55">
        <v>0</v>
      </c>
      <c r="AD386" s="55">
        <v>0</v>
      </c>
      <c r="AE386" s="55">
        <v>0</v>
      </c>
      <c r="AF386" s="55"/>
      <c r="AG386" s="55">
        <v>0</v>
      </c>
      <c r="AH386" s="55">
        <v>0</v>
      </c>
      <c r="AI386" s="55">
        <v>0</v>
      </c>
      <c r="AJ386" s="55">
        <v>15999283.927235501</v>
      </c>
      <c r="AK386" s="55">
        <v>0</v>
      </c>
      <c r="AL386" s="55">
        <v>0</v>
      </c>
      <c r="AM386" s="55">
        <v>1836983.8047974401</v>
      </c>
      <c r="AN386" s="63">
        <v>183698.380479744</v>
      </c>
      <c r="AO386" s="64">
        <v>349871.93546172098</v>
      </c>
      <c r="AP386" s="61">
        <f>+N386-'Приложение №2'!E386</f>
        <v>0</v>
      </c>
      <c r="AQ386" s="65">
        <v>7457217.9500000002</v>
      </c>
      <c r="AR386" s="3">
        <f>+(K386*13.95+L386*23.65)*12*0.85</f>
        <v>1399130.3279999997</v>
      </c>
      <c r="AS386" s="3">
        <f>+(K386*13.95+L386*23.65)*12*30</f>
        <v>49381070.399999991</v>
      </c>
      <c r="AT386" s="6">
        <f t="shared" si="119"/>
        <v>-34658013.474538289</v>
      </c>
      <c r="AU386" s="6" t="e">
        <v>#REF!</v>
      </c>
      <c r="AV386" s="6" t="e">
        <v>#REF!</v>
      </c>
      <c r="AW386" s="110">
        <f t="shared" si="120"/>
        <v>16349155.862697221</v>
      </c>
      <c r="AX386" s="55">
        <v>0</v>
      </c>
      <c r="AY386" s="55">
        <v>0</v>
      </c>
      <c r="AZ386" s="55">
        <v>0</v>
      </c>
      <c r="BA386" s="55">
        <v>0</v>
      </c>
      <c r="BB386" s="55">
        <v>0</v>
      </c>
      <c r="BC386" s="55"/>
      <c r="BD386" s="55"/>
      <c r="BE386" s="55">
        <v>0</v>
      </c>
      <c r="BF386" s="55">
        <v>0</v>
      </c>
      <c r="BG386" s="55">
        <v>15999283.927235501</v>
      </c>
      <c r="BH386" s="55">
        <v>0</v>
      </c>
      <c r="BI386" s="55">
        <v>0</v>
      </c>
      <c r="BJ386" s="55"/>
      <c r="BK386" s="63"/>
      <c r="BL386" s="111">
        <v>349871.93546172098</v>
      </c>
      <c r="BM386" s="110">
        <f t="shared" si="121"/>
        <v>16349155.862697221</v>
      </c>
      <c r="BN386" s="55">
        <v>0</v>
      </c>
      <c r="BO386" s="55">
        <v>0</v>
      </c>
      <c r="BP386" s="55">
        <v>0</v>
      </c>
      <c r="BQ386" s="55">
        <v>0</v>
      </c>
      <c r="BR386" s="55">
        <v>0</v>
      </c>
      <c r="BS386" s="55"/>
      <c r="BT386" s="55"/>
      <c r="BU386" s="55">
        <v>0</v>
      </c>
      <c r="BV386" s="55">
        <v>0</v>
      </c>
      <c r="BW386" s="55">
        <v>15999283.927235501</v>
      </c>
      <c r="BX386" s="55">
        <v>0</v>
      </c>
      <c r="BY386" s="55">
        <v>0</v>
      </c>
      <c r="BZ386" s="55"/>
      <c r="CA386" s="63"/>
      <c r="CB386" s="64">
        <v>349871.93546172098</v>
      </c>
      <c r="CD386" s="6"/>
      <c r="CE386" s="3"/>
    </row>
    <row r="387" spans="1:83" x14ac:dyDescent="0.25">
      <c r="A387" s="105">
        <f t="shared" si="122"/>
        <v>367</v>
      </c>
      <c r="B387" s="106">
        <f t="shared" si="124"/>
        <v>178</v>
      </c>
      <c r="C387" s="53" t="s">
        <v>75</v>
      </c>
      <c r="D387" s="53" t="s">
        <v>460</v>
      </c>
      <c r="E387" s="54">
        <v>1987</v>
      </c>
      <c r="F387" s="54">
        <v>2016</v>
      </c>
      <c r="G387" s="54" t="s">
        <v>64</v>
      </c>
      <c r="H387" s="54">
        <v>5</v>
      </c>
      <c r="I387" s="54">
        <v>2</v>
      </c>
      <c r="J387" s="55">
        <v>4414.46</v>
      </c>
      <c r="K387" s="55">
        <v>3063.3</v>
      </c>
      <c r="L387" s="55">
        <v>691.2</v>
      </c>
      <c r="M387" s="56">
        <v>189</v>
      </c>
      <c r="N387" s="112">
        <f t="shared" si="118"/>
        <v>3845199.4959070599</v>
      </c>
      <c r="O387" s="55"/>
      <c r="P387" s="63"/>
      <c r="Q387" s="63"/>
      <c r="R387" s="63">
        <v>1857708.72</v>
      </c>
      <c r="S387" s="63">
        <v>1987490.7759070599</v>
      </c>
      <c r="T387" s="113"/>
      <c r="U387" s="63">
        <v>1397.77679492934</v>
      </c>
      <c r="V387" s="63">
        <v>1194.2830200640001</v>
      </c>
      <c r="W387" s="59">
        <v>2023</v>
      </c>
      <c r="X387" s="6" t="e">
        <v>#REF!</v>
      </c>
      <c r="Z387" s="62">
        <f t="shared" si="123"/>
        <v>26328386.425327551</v>
      </c>
      <c r="AA387" s="55">
        <v>7372697.9505887302</v>
      </c>
      <c r="AB387" s="55">
        <v>0</v>
      </c>
      <c r="AC387" s="55">
        <v>0</v>
      </c>
      <c r="AD387" s="55">
        <v>0</v>
      </c>
      <c r="AE387" s="55">
        <v>0</v>
      </c>
      <c r="AF387" s="55"/>
      <c r="AG387" s="55">
        <v>306104.35376204801</v>
      </c>
      <c r="AH387" s="55">
        <v>0</v>
      </c>
      <c r="AI387" s="55">
        <v>0</v>
      </c>
      <c r="AJ387" s="55">
        <v>0</v>
      </c>
      <c r="AK387" s="55">
        <v>15442160.108254399</v>
      </c>
      <c r="AL387" s="55">
        <v>0</v>
      </c>
      <c r="AM387" s="55">
        <v>2438531.5283692102</v>
      </c>
      <c r="AN387" s="63">
        <v>263283.86425327498</v>
      </c>
      <c r="AO387" s="64">
        <v>505608.62009988801</v>
      </c>
      <c r="AP387" s="61">
        <f>+N387-'Приложение №2'!E387</f>
        <v>4.6566128730773926E-9</v>
      </c>
      <c r="AQ387" s="1">
        <f>2719968.2-1338393.95</f>
        <v>1381574.2500000002</v>
      </c>
      <c r="AR387" s="3">
        <f>+(K387*10.5+L387*21)*12*0.85</f>
        <v>476134.47000000003</v>
      </c>
      <c r="AS387" s="3">
        <f>+(K387*10.5+L387*21)*12*30-994515.5</f>
        <v>15810230.500000004</v>
      </c>
      <c r="AT387" s="6">
        <f t="shared" si="119"/>
        <v>-13822739.724092944</v>
      </c>
      <c r="AU387" s="6" t="e">
        <v>#REF!</v>
      </c>
      <c r="AV387" s="6" t="e">
        <v>#REF!</v>
      </c>
      <c r="AW387" s="110">
        <f t="shared" si="120"/>
        <v>4281809.6559070554</v>
      </c>
      <c r="AX387" s="55"/>
      <c r="AY387" s="55">
        <v>0</v>
      </c>
      <c r="AZ387" s="55">
        <v>0</v>
      </c>
      <c r="BA387" s="55">
        <v>0</v>
      </c>
      <c r="BB387" s="55">
        <v>0</v>
      </c>
      <c r="BC387" s="55"/>
      <c r="BD387" s="55"/>
      <c r="BE387" s="55">
        <v>0</v>
      </c>
      <c r="BF387" s="55">
        <v>0</v>
      </c>
      <c r="BG387" s="55">
        <v>0</v>
      </c>
      <c r="BH387" s="55">
        <v>3944120.89</v>
      </c>
      <c r="BI387" s="55">
        <v>0</v>
      </c>
      <c r="BJ387" s="55"/>
      <c r="BK387" s="63"/>
      <c r="BL387" s="111">
        <v>337688.765907055</v>
      </c>
      <c r="BM387" s="110">
        <f t="shared" si="121"/>
        <v>4281809.6559070554</v>
      </c>
      <c r="BN387" s="55"/>
      <c r="BO387" s="55">
        <v>0</v>
      </c>
      <c r="BP387" s="55">
        <v>0</v>
      </c>
      <c r="BQ387" s="55">
        <v>0</v>
      </c>
      <c r="BR387" s="55">
        <v>0</v>
      </c>
      <c r="BS387" s="55"/>
      <c r="BT387" s="55"/>
      <c r="BU387" s="55">
        <v>0</v>
      </c>
      <c r="BV387" s="55">
        <v>0</v>
      </c>
      <c r="BW387" s="55">
        <v>0</v>
      </c>
      <c r="BX387" s="55">
        <v>3944120.89</v>
      </c>
      <c r="BY387" s="55">
        <v>0</v>
      </c>
      <c r="BZ387" s="55"/>
      <c r="CA387" s="63"/>
      <c r="CB387" s="64">
        <v>337688.765907055</v>
      </c>
      <c r="CD387" s="6"/>
      <c r="CE387" s="6"/>
    </row>
    <row r="388" spans="1:83" x14ac:dyDescent="0.25">
      <c r="A388" s="105">
        <f t="shared" si="122"/>
        <v>368</v>
      </c>
      <c r="B388" s="106">
        <f t="shared" si="124"/>
        <v>179</v>
      </c>
      <c r="C388" s="53" t="s">
        <v>75</v>
      </c>
      <c r="D388" s="53" t="s">
        <v>87</v>
      </c>
      <c r="E388" s="54">
        <v>1990</v>
      </c>
      <c r="F388" s="54">
        <v>2017</v>
      </c>
      <c r="G388" s="54" t="s">
        <v>64</v>
      </c>
      <c r="H388" s="54">
        <v>9</v>
      </c>
      <c r="I388" s="54">
        <v>1</v>
      </c>
      <c r="J388" s="55">
        <v>4527.8</v>
      </c>
      <c r="K388" s="55">
        <v>3876.4</v>
      </c>
      <c r="L388" s="55">
        <v>0</v>
      </c>
      <c r="M388" s="56">
        <v>153</v>
      </c>
      <c r="N388" s="112">
        <f t="shared" si="118"/>
        <v>1471321.18421846</v>
      </c>
      <c r="O388" s="55"/>
      <c r="P388" s="63"/>
      <c r="Q388" s="63"/>
      <c r="R388" s="63">
        <v>281440.53000000003</v>
      </c>
      <c r="S388" s="63">
        <v>1189880.65421846</v>
      </c>
      <c r="T388" s="113"/>
      <c r="U388" s="63">
        <v>380.77479840567099</v>
      </c>
      <c r="V388" s="63">
        <v>380.77479840567099</v>
      </c>
      <c r="W388" s="59">
        <v>2023</v>
      </c>
      <c r="X388" s="6" t="e">
        <v>#REF!</v>
      </c>
      <c r="Z388" s="62">
        <f t="shared" si="123"/>
        <v>27786937.969636559</v>
      </c>
      <c r="AA388" s="55">
        <v>9291270.4654677305</v>
      </c>
      <c r="AB388" s="55">
        <v>3717394.3341215299</v>
      </c>
      <c r="AC388" s="55">
        <v>2745659.6300522201</v>
      </c>
      <c r="AD388" s="55">
        <v>1754602.3759999799</v>
      </c>
      <c r="AE388" s="55">
        <v>0</v>
      </c>
      <c r="AF388" s="55"/>
      <c r="AG388" s="55">
        <v>412798.17860638199</v>
      </c>
      <c r="AH388" s="55">
        <v>0</v>
      </c>
      <c r="AI388" s="55">
        <v>0</v>
      </c>
      <c r="AJ388" s="55">
        <v>6460326.5118356803</v>
      </c>
      <c r="AK388" s="55">
        <v>0</v>
      </c>
      <c r="AL388" s="55">
        <v>0</v>
      </c>
      <c r="AM388" s="55">
        <v>2593831.0096382098</v>
      </c>
      <c r="AN388" s="63">
        <v>277869.37969636603</v>
      </c>
      <c r="AO388" s="64">
        <v>533186.084218462</v>
      </c>
      <c r="AP388" s="61">
        <f>+N388-'Приложение №2'!E388</f>
        <v>-2.0954757928848267E-9</v>
      </c>
      <c r="AQ388" s="6">
        <f>2413836.61-R37</f>
        <v>953855.35578153981</v>
      </c>
      <c r="AR388" s="3">
        <f>+(K388*13.29+L388*22.52)*12*0.85</f>
        <v>525477.03119999997</v>
      </c>
      <c r="AS388" s="3">
        <f>+(K388*13.29+L388*22.52)*12*30-S37</f>
        <v>14820037.98</v>
      </c>
      <c r="AT388" s="6">
        <f t="shared" si="119"/>
        <v>-13630157.325781541</v>
      </c>
      <c r="AW388" s="62">
        <f t="shared" si="120"/>
        <v>1476035.428539742</v>
      </c>
      <c r="AX388" s="55"/>
      <c r="AY388" s="55"/>
      <c r="AZ388" s="55">
        <v>942849.34432128002</v>
      </c>
      <c r="BA388" s="55"/>
      <c r="BB388" s="55">
        <v>0</v>
      </c>
      <c r="BC388" s="55"/>
      <c r="BD388" s="55"/>
      <c r="BE388" s="55">
        <v>0</v>
      </c>
      <c r="BF388" s="55">
        <v>0</v>
      </c>
      <c r="BG388" s="55"/>
      <c r="BH388" s="55">
        <v>0</v>
      </c>
      <c r="BI388" s="55">
        <v>0</v>
      </c>
      <c r="BJ388" s="55"/>
      <c r="BK388" s="63"/>
      <c r="BL388" s="111">
        <v>533186.084218462</v>
      </c>
      <c r="BM388" s="62">
        <f t="shared" si="121"/>
        <v>1476035.428539742</v>
      </c>
      <c r="BN388" s="55"/>
      <c r="BO388" s="55"/>
      <c r="BP388" s="55">
        <v>942849.34432128002</v>
      </c>
      <c r="BQ388" s="55"/>
      <c r="BR388" s="55">
        <v>0</v>
      </c>
      <c r="BS388" s="55"/>
      <c r="BT388" s="55"/>
      <c r="BU388" s="55">
        <v>0</v>
      </c>
      <c r="BV388" s="55">
        <v>0</v>
      </c>
      <c r="BW388" s="55"/>
      <c r="BX388" s="55">
        <v>0</v>
      </c>
      <c r="BY388" s="55">
        <v>0</v>
      </c>
      <c r="BZ388" s="55"/>
      <c r="CA388" s="63"/>
      <c r="CB388" s="64">
        <v>533186.084218462</v>
      </c>
      <c r="CD388" s="6"/>
    </row>
    <row r="389" spans="1:83" x14ac:dyDescent="0.25">
      <c r="A389" s="105">
        <f t="shared" si="122"/>
        <v>369</v>
      </c>
      <c r="B389" s="106">
        <f t="shared" si="124"/>
        <v>180</v>
      </c>
      <c r="C389" s="53" t="s">
        <v>75</v>
      </c>
      <c r="D389" s="53" t="s">
        <v>461</v>
      </c>
      <c r="E389" s="54">
        <v>1989</v>
      </c>
      <c r="F389" s="54">
        <v>2016</v>
      </c>
      <c r="G389" s="54" t="s">
        <v>64</v>
      </c>
      <c r="H389" s="54">
        <v>5</v>
      </c>
      <c r="I389" s="54">
        <v>4</v>
      </c>
      <c r="J389" s="55">
        <v>5827.1</v>
      </c>
      <c r="K389" s="55">
        <v>4877.5</v>
      </c>
      <c r="L389" s="55">
        <v>0</v>
      </c>
      <c r="M389" s="56">
        <v>218</v>
      </c>
      <c r="N389" s="112">
        <f t="shared" si="118"/>
        <v>4236618.2387708593</v>
      </c>
      <c r="O389" s="55"/>
      <c r="P389" s="63"/>
      <c r="Q389" s="63"/>
      <c r="R389" s="63">
        <v>1450818.5</v>
      </c>
      <c r="S389" s="63">
        <v>2785799.7387708598</v>
      </c>
      <c r="T389" s="63"/>
      <c r="U389" s="63">
        <v>2166.4763450462001</v>
      </c>
      <c r="V389" s="63">
        <v>1209.2830200640001</v>
      </c>
      <c r="W389" s="59">
        <v>2023</v>
      </c>
      <c r="X389" s="6" t="e">
        <v>#REF!</v>
      </c>
      <c r="Z389" s="62">
        <f t="shared" si="123"/>
        <v>20671116.862985972</v>
      </c>
      <c r="AA389" s="55">
        <v>9672123.3663251493</v>
      </c>
      <c r="AB389" s="55">
        <v>4139883.0594339101</v>
      </c>
      <c r="AC389" s="55">
        <v>0</v>
      </c>
      <c r="AD389" s="55">
        <v>3903303.7014767202</v>
      </c>
      <c r="AE389" s="55">
        <v>0</v>
      </c>
      <c r="AF389" s="55"/>
      <c r="AG389" s="55">
        <v>401573.35786682402</v>
      </c>
      <c r="AH389" s="55">
        <v>0</v>
      </c>
      <c r="AI389" s="55">
        <v>0</v>
      </c>
      <c r="AJ389" s="55">
        <v>0</v>
      </c>
      <c r="AK389" s="55">
        <v>0</v>
      </c>
      <c r="AL389" s="55">
        <v>0</v>
      </c>
      <c r="AM389" s="55">
        <v>1951342.6603252499</v>
      </c>
      <c r="AN389" s="63">
        <v>206711.16862986001</v>
      </c>
      <c r="AO389" s="64">
        <v>396179.54892826098</v>
      </c>
      <c r="AP389" s="61">
        <f>+N389-'Приложение №2'!E389</f>
        <v>0</v>
      </c>
      <c r="AQ389" s="65">
        <v>2848311.76</v>
      </c>
      <c r="AR389" s="3">
        <f>+(K389*10.5+L389*21)*12*0.85</f>
        <v>522380.25</v>
      </c>
      <c r="AS389" s="3">
        <f>+(K389*10.5+L389*21)*12*30</f>
        <v>18436950</v>
      </c>
      <c r="AT389" s="6">
        <f t="shared" si="119"/>
        <v>-15651150.261229141</v>
      </c>
      <c r="AU389" s="6" t="e">
        <v>#REF!</v>
      </c>
      <c r="AV389" s="6" t="e">
        <v>#REF!</v>
      </c>
      <c r="AW389" s="110">
        <f t="shared" si="120"/>
        <v>10566988.372962832</v>
      </c>
      <c r="AX389" s="55">
        <v>9672123.3663251493</v>
      </c>
      <c r="AY389" s="55"/>
      <c r="AZ389" s="55">
        <v>0</v>
      </c>
      <c r="BA389" s="55"/>
      <c r="BB389" s="55">
        <v>0</v>
      </c>
      <c r="BC389" s="55"/>
      <c r="BD389" s="55">
        <v>401573.35786682402</v>
      </c>
      <c r="BE389" s="55">
        <v>0</v>
      </c>
      <c r="BF389" s="55">
        <v>0</v>
      </c>
      <c r="BG389" s="55">
        <v>0</v>
      </c>
      <c r="BH389" s="55">
        <v>0</v>
      </c>
      <c r="BI389" s="55">
        <v>0</v>
      </c>
      <c r="BJ389" s="55"/>
      <c r="BK389" s="63"/>
      <c r="BL389" s="111">
        <v>493291.648770859</v>
      </c>
      <c r="BM389" s="110">
        <f t="shared" si="121"/>
        <v>10566988.372962832</v>
      </c>
      <c r="BN389" s="55">
        <v>9672123.3663251493</v>
      </c>
      <c r="BO389" s="55"/>
      <c r="BP389" s="55">
        <v>0</v>
      </c>
      <c r="BQ389" s="55"/>
      <c r="BR389" s="55">
        <v>0</v>
      </c>
      <c r="BS389" s="55"/>
      <c r="BT389" s="55">
        <v>401573.35786682402</v>
      </c>
      <c r="BU389" s="55">
        <v>0</v>
      </c>
      <c r="BV389" s="55">
        <v>0</v>
      </c>
      <c r="BW389" s="55">
        <v>0</v>
      </c>
      <c r="BX389" s="55">
        <v>0</v>
      </c>
      <c r="BY389" s="55">
        <v>0</v>
      </c>
      <c r="BZ389" s="55"/>
      <c r="CA389" s="63"/>
      <c r="CB389" s="64">
        <v>493291.648770859</v>
      </c>
      <c r="CD389" s="3"/>
    </row>
    <row r="390" spans="1:83" x14ac:dyDescent="0.25">
      <c r="A390" s="105">
        <f t="shared" si="122"/>
        <v>370</v>
      </c>
      <c r="B390" s="106">
        <f t="shared" si="124"/>
        <v>181</v>
      </c>
      <c r="C390" s="53" t="s">
        <v>75</v>
      </c>
      <c r="D390" s="53" t="s">
        <v>462</v>
      </c>
      <c r="E390" s="54">
        <v>1994</v>
      </c>
      <c r="F390" s="54">
        <v>1994</v>
      </c>
      <c r="G390" s="54" t="s">
        <v>64</v>
      </c>
      <c r="H390" s="54">
        <v>10</v>
      </c>
      <c r="I390" s="54">
        <v>1</v>
      </c>
      <c r="J390" s="55">
        <v>3200.9</v>
      </c>
      <c r="K390" s="55">
        <v>2751.2</v>
      </c>
      <c r="L390" s="55">
        <v>0</v>
      </c>
      <c r="M390" s="56">
        <v>107</v>
      </c>
      <c r="N390" s="112">
        <f t="shared" si="118"/>
        <v>14159244.434273491</v>
      </c>
      <c r="O390" s="55"/>
      <c r="P390" s="63"/>
      <c r="Q390" s="63"/>
      <c r="R390" s="63">
        <v>7055346.3200000003</v>
      </c>
      <c r="S390" s="63">
        <v>7103898.1142734904</v>
      </c>
      <c r="T390" s="63"/>
      <c r="U390" s="63">
        <v>5146.5703817510503</v>
      </c>
      <c r="V390" s="63">
        <v>1211.2830200640001</v>
      </c>
      <c r="W390" s="59">
        <v>2023</v>
      </c>
      <c r="X390" s="6" t="e">
        <v>#REF!</v>
      </c>
      <c r="Z390" s="62">
        <f t="shared" si="123"/>
        <v>19454250.558480993</v>
      </c>
      <c r="AA390" s="55">
        <v>0</v>
      </c>
      <c r="AB390" s="55">
        <v>0</v>
      </c>
      <c r="AC390" s="55">
        <v>0</v>
      </c>
      <c r="AD390" s="55">
        <v>0</v>
      </c>
      <c r="AE390" s="55">
        <v>0</v>
      </c>
      <c r="AF390" s="55"/>
      <c r="AG390" s="55">
        <v>0</v>
      </c>
      <c r="AH390" s="55">
        <v>0</v>
      </c>
      <c r="AI390" s="55">
        <v>0</v>
      </c>
      <c r="AJ390" s="55">
        <v>0</v>
      </c>
      <c r="AK390" s="55">
        <v>18910849.8042075</v>
      </c>
      <c r="AL390" s="55">
        <v>0</v>
      </c>
      <c r="AM390" s="55">
        <v>105858.77</v>
      </c>
      <c r="AN390" s="55">
        <v>24000</v>
      </c>
      <c r="AO390" s="64">
        <v>413541.98427349201</v>
      </c>
      <c r="AP390" s="61">
        <f>+N390-'Приложение №2'!E390</f>
        <v>0</v>
      </c>
      <c r="AQ390" s="1">
        <f>2009065.49-187767.96</f>
        <v>1821297.53</v>
      </c>
      <c r="AR390" s="3">
        <f>+(K390*13.95+L390*23.65)*12*0.85</f>
        <v>391468.24800000002</v>
      </c>
      <c r="AS390" s="3">
        <f>+(K390*13.95+L390*23.65)*12*30-105832.49</f>
        <v>13710693.91</v>
      </c>
      <c r="AT390" s="6">
        <f t="shared" si="119"/>
        <v>-6606795.7957265098</v>
      </c>
      <c r="AU390" s="6" t="e">
        <v>#REF!</v>
      </c>
      <c r="AV390" s="6" t="e">
        <v>#REF!</v>
      </c>
      <c r="AW390" s="110">
        <f t="shared" si="120"/>
        <v>14159244.434273491</v>
      </c>
      <c r="AX390" s="55">
        <v>0</v>
      </c>
      <c r="AY390" s="55">
        <v>0</v>
      </c>
      <c r="AZ390" s="55">
        <v>0</v>
      </c>
      <c r="BA390" s="55">
        <v>0</v>
      </c>
      <c r="BB390" s="55">
        <v>0</v>
      </c>
      <c r="BC390" s="55"/>
      <c r="BD390" s="55"/>
      <c r="BE390" s="55">
        <v>0</v>
      </c>
      <c r="BF390" s="55">
        <v>0</v>
      </c>
      <c r="BG390" s="55">
        <v>0</v>
      </c>
      <c r="BH390" s="55">
        <v>13745702.449999999</v>
      </c>
      <c r="BI390" s="55">
        <v>0</v>
      </c>
      <c r="BJ390" s="55"/>
      <c r="BK390" s="55"/>
      <c r="BL390" s="111">
        <v>413541.98427349201</v>
      </c>
      <c r="BM390" s="110">
        <f t="shared" si="121"/>
        <v>14159244.434273491</v>
      </c>
      <c r="BN390" s="55">
        <v>0</v>
      </c>
      <c r="BO390" s="55">
        <v>0</v>
      </c>
      <c r="BP390" s="55">
        <v>0</v>
      </c>
      <c r="BQ390" s="55">
        <v>0</v>
      </c>
      <c r="BR390" s="55">
        <v>0</v>
      </c>
      <c r="BS390" s="55"/>
      <c r="BT390" s="55"/>
      <c r="BU390" s="55">
        <v>0</v>
      </c>
      <c r="BV390" s="55">
        <v>0</v>
      </c>
      <c r="BW390" s="55">
        <v>0</v>
      </c>
      <c r="BX390" s="55">
        <v>13745702.449999999</v>
      </c>
      <c r="BY390" s="55">
        <v>0</v>
      </c>
      <c r="BZ390" s="55"/>
      <c r="CA390" s="55"/>
      <c r="CB390" s="64">
        <v>413541.98427349201</v>
      </c>
      <c r="CD390" s="3"/>
    </row>
    <row r="391" spans="1:83" x14ac:dyDescent="0.25">
      <c r="A391" s="105">
        <f t="shared" si="122"/>
        <v>371</v>
      </c>
      <c r="B391" s="106">
        <f t="shared" si="124"/>
        <v>182</v>
      </c>
      <c r="C391" s="53" t="s">
        <v>75</v>
      </c>
      <c r="D391" s="53" t="s">
        <v>463</v>
      </c>
      <c r="E391" s="54">
        <v>1982</v>
      </c>
      <c r="F391" s="54">
        <v>2008</v>
      </c>
      <c r="G391" s="54" t="s">
        <v>64</v>
      </c>
      <c r="H391" s="54">
        <v>5</v>
      </c>
      <c r="I391" s="54">
        <v>7</v>
      </c>
      <c r="J391" s="55">
        <v>6399.1</v>
      </c>
      <c r="K391" s="55">
        <v>4849.8999999999996</v>
      </c>
      <c r="L391" s="55">
        <v>814.5</v>
      </c>
      <c r="M391" s="56">
        <v>218</v>
      </c>
      <c r="N391" s="112">
        <f t="shared" si="118"/>
        <v>2434130.37752487</v>
      </c>
      <c r="O391" s="55"/>
      <c r="P391" s="63"/>
      <c r="Q391" s="63"/>
      <c r="R391" s="6">
        <v>2434130.37752487</v>
      </c>
      <c r="S391" s="63"/>
      <c r="T391" s="63"/>
      <c r="U391" s="55">
        <v>2104.8843268708601</v>
      </c>
      <c r="V391" s="55">
        <v>2104.8843268708601</v>
      </c>
      <c r="W391" s="59">
        <v>2023</v>
      </c>
      <c r="X391" s="6" t="e">
        <v>#REF!</v>
      </c>
      <c r="Z391" s="62">
        <f t="shared" si="123"/>
        <v>16411893.353984786</v>
      </c>
      <c r="AA391" s="55">
        <v>10225965.4266984</v>
      </c>
      <c r="AB391" s="55">
        <v>0</v>
      </c>
      <c r="AC391" s="55">
        <v>3907208.0564832599</v>
      </c>
      <c r="AD391" s="55">
        <v>0</v>
      </c>
      <c r="AE391" s="55">
        <v>0</v>
      </c>
      <c r="AF391" s="55"/>
      <c r="AG391" s="55">
        <v>424568.124112911</v>
      </c>
      <c r="AH391" s="55">
        <v>0</v>
      </c>
      <c r="AI391" s="55">
        <v>0</v>
      </c>
      <c r="AJ391" s="55">
        <v>0</v>
      </c>
      <c r="AK391" s="55">
        <v>0</v>
      </c>
      <c r="AL391" s="55">
        <v>0</v>
      </c>
      <c r="AM391" s="55">
        <v>1371684.48860908</v>
      </c>
      <c r="AN391" s="63">
        <v>164118.93353984799</v>
      </c>
      <c r="AO391" s="64">
        <v>318348.32454128802</v>
      </c>
      <c r="AP391" s="61">
        <f>+N391-'Приложение №2'!E391</f>
        <v>4.1909515857696533E-9</v>
      </c>
      <c r="AQ391" s="1">
        <v>2229911.9</v>
      </c>
      <c r="AR391" s="3">
        <f>+(K391*10+L391*20)*12*0.85</f>
        <v>660847.79999999993</v>
      </c>
      <c r="AS391" s="3">
        <f>+(K391*10+L391*20)*12*30</f>
        <v>23324040</v>
      </c>
      <c r="AT391" s="6">
        <f t="shared" si="119"/>
        <v>-23324040</v>
      </c>
      <c r="AU391" s="6" t="e">
        <v>#REF!</v>
      </c>
      <c r="AV391" s="6" t="e">
        <v>#REF!</v>
      </c>
      <c r="AW391" s="62">
        <f t="shared" si="120"/>
        <v>11922906.781127278</v>
      </c>
      <c r="AX391" s="55">
        <v>11159574.1994895</v>
      </c>
      <c r="AY391" s="55">
        <v>0</v>
      </c>
      <c r="AZ391" s="55"/>
      <c r="BA391" s="55">
        <v>0</v>
      </c>
      <c r="BB391" s="55">
        <v>0</v>
      </c>
      <c r="BC391" s="55"/>
      <c r="BD391" s="55">
        <v>424568.124112911</v>
      </c>
      <c r="BE391" s="55">
        <v>0</v>
      </c>
      <c r="BF391" s="55">
        <v>0</v>
      </c>
      <c r="BG391" s="55">
        <v>0</v>
      </c>
      <c r="BH391" s="55">
        <v>0</v>
      </c>
      <c r="BI391" s="55">
        <v>0</v>
      </c>
      <c r="BJ391" s="55"/>
      <c r="BK391" s="63"/>
      <c r="BL391" s="111">
        <v>338764.45752486598</v>
      </c>
      <c r="BM391" s="62">
        <f t="shared" si="121"/>
        <v>11922906.781127278</v>
      </c>
      <c r="BN391" s="55">
        <v>11159574.1994895</v>
      </c>
      <c r="BO391" s="55">
        <v>0</v>
      </c>
      <c r="BP391" s="55"/>
      <c r="BQ391" s="55">
        <v>0</v>
      </c>
      <c r="BR391" s="55">
        <v>0</v>
      </c>
      <c r="BS391" s="55"/>
      <c r="BT391" s="55">
        <v>424568.124112911</v>
      </c>
      <c r="BU391" s="55">
        <v>0</v>
      </c>
      <c r="BV391" s="55">
        <v>0</v>
      </c>
      <c r="BW391" s="55">
        <v>0</v>
      </c>
      <c r="BX391" s="55">
        <v>0</v>
      </c>
      <c r="BY391" s="55">
        <v>0</v>
      </c>
      <c r="BZ391" s="55"/>
      <c r="CA391" s="63"/>
      <c r="CB391" s="111">
        <v>338764.45752486598</v>
      </c>
      <c r="CD391" s="6"/>
    </row>
    <row r="392" spans="1:83" x14ac:dyDescent="0.25">
      <c r="A392" s="105">
        <f t="shared" si="122"/>
        <v>372</v>
      </c>
      <c r="B392" s="106">
        <f t="shared" si="124"/>
        <v>183</v>
      </c>
      <c r="C392" s="53" t="s">
        <v>75</v>
      </c>
      <c r="D392" s="53" t="s">
        <v>464</v>
      </c>
      <c r="E392" s="54">
        <v>1983</v>
      </c>
      <c r="F392" s="54">
        <v>2015</v>
      </c>
      <c r="G392" s="54" t="s">
        <v>64</v>
      </c>
      <c r="H392" s="54">
        <v>5</v>
      </c>
      <c r="I392" s="54">
        <v>4</v>
      </c>
      <c r="J392" s="55">
        <v>4471.8999999999996</v>
      </c>
      <c r="K392" s="55">
        <v>3791</v>
      </c>
      <c r="L392" s="55">
        <v>256.8</v>
      </c>
      <c r="M392" s="56">
        <v>156</v>
      </c>
      <c r="N392" s="112">
        <f t="shared" si="118"/>
        <v>11379828.32796555</v>
      </c>
      <c r="O392" s="55"/>
      <c r="P392" s="63">
        <v>4239342.1500000004</v>
      </c>
      <c r="Q392" s="63"/>
      <c r="R392" s="63">
        <v>721963.92</v>
      </c>
      <c r="S392" s="63">
        <v>5338533.2979655499</v>
      </c>
      <c r="T392" s="63">
        <v>1079988.96</v>
      </c>
      <c r="U392" s="63">
        <v>7998.1943510317997</v>
      </c>
      <c r="V392" s="63">
        <v>1223.2830200640001</v>
      </c>
      <c r="W392" s="59">
        <v>2023</v>
      </c>
      <c r="X392" s="6" t="e">
        <v>#REF!</v>
      </c>
      <c r="Z392" s="62">
        <f t="shared" si="123"/>
        <v>30449371.414761547</v>
      </c>
      <c r="AA392" s="55">
        <v>0</v>
      </c>
      <c r="AB392" s="55">
        <v>0</v>
      </c>
      <c r="AC392" s="55">
        <v>0</v>
      </c>
      <c r="AD392" s="55">
        <v>0</v>
      </c>
      <c r="AE392" s="55">
        <v>0</v>
      </c>
      <c r="AF392" s="55"/>
      <c r="AG392" s="55">
        <v>0</v>
      </c>
      <c r="AH392" s="55">
        <v>0</v>
      </c>
      <c r="AI392" s="55">
        <v>0</v>
      </c>
      <c r="AJ392" s="55">
        <v>0</v>
      </c>
      <c r="AK392" s="55">
        <v>29741216.056795999</v>
      </c>
      <c r="AL392" s="55">
        <v>0</v>
      </c>
      <c r="AM392" s="55">
        <v>104216.63</v>
      </c>
      <c r="AN392" s="55">
        <v>24000</v>
      </c>
      <c r="AO392" s="64">
        <v>579938.72796554898</v>
      </c>
      <c r="AP392" s="61">
        <f>+N392-'Приложение №2'!E392</f>
        <v>0</v>
      </c>
      <c r="AQ392" s="6">
        <f>2269636.35-R557</f>
        <v>34414.979999999981</v>
      </c>
      <c r="AR392" s="3">
        <f>+(K392*10.5+L392*21)*12*0.85</f>
        <v>461022.66000000009</v>
      </c>
      <c r="AS392" s="3">
        <f>+(K392*10.5+L392*21)*12*30-S557</f>
        <v>4875776.6100000031</v>
      </c>
      <c r="AT392" s="6">
        <f t="shared" si="119"/>
        <v>462756.68796554673</v>
      </c>
      <c r="AU392" s="6" t="e">
        <v>#REF!</v>
      </c>
      <c r="AV392" s="6" t="e">
        <v>#REF!</v>
      </c>
      <c r="AW392" s="110">
        <f t="shared" si="120"/>
        <v>30321154.784761548</v>
      </c>
      <c r="AX392" s="55">
        <v>0</v>
      </c>
      <c r="AY392" s="55">
        <v>0</v>
      </c>
      <c r="AZ392" s="55">
        <v>0</v>
      </c>
      <c r="BA392" s="55">
        <v>0</v>
      </c>
      <c r="BB392" s="55">
        <v>0</v>
      </c>
      <c r="BC392" s="55"/>
      <c r="BD392" s="55"/>
      <c r="BE392" s="55">
        <v>0</v>
      </c>
      <c r="BF392" s="55">
        <v>0</v>
      </c>
      <c r="BG392" s="55">
        <v>0</v>
      </c>
      <c r="BH392" s="55">
        <v>29741216.056795999</v>
      </c>
      <c r="BI392" s="55">
        <v>0</v>
      </c>
      <c r="BJ392" s="55"/>
      <c r="BK392" s="55"/>
      <c r="BL392" s="111">
        <v>579938.72796554898</v>
      </c>
      <c r="BM392" s="110">
        <f t="shared" si="121"/>
        <v>30321154.784761548</v>
      </c>
      <c r="BN392" s="55">
        <v>0</v>
      </c>
      <c r="BO392" s="55">
        <v>0</v>
      </c>
      <c r="BP392" s="55">
        <v>0</v>
      </c>
      <c r="BQ392" s="55">
        <v>0</v>
      </c>
      <c r="BR392" s="55">
        <v>0</v>
      </c>
      <c r="BS392" s="55"/>
      <c r="BT392" s="55"/>
      <c r="BU392" s="55">
        <v>0</v>
      </c>
      <c r="BV392" s="55">
        <v>0</v>
      </c>
      <c r="BW392" s="55">
        <v>0</v>
      </c>
      <c r="BX392" s="55">
        <v>29741216.056795999</v>
      </c>
      <c r="BY392" s="55">
        <v>0</v>
      </c>
      <c r="BZ392" s="55"/>
      <c r="CA392" s="55"/>
      <c r="CB392" s="64">
        <v>579938.72796554898</v>
      </c>
      <c r="CD392" s="3"/>
      <c r="CE392" s="3"/>
    </row>
    <row r="393" spans="1:83" x14ac:dyDescent="0.25">
      <c r="A393" s="105">
        <f t="shared" si="122"/>
        <v>373</v>
      </c>
      <c r="B393" s="106">
        <f t="shared" si="124"/>
        <v>184</v>
      </c>
      <c r="C393" s="53" t="s">
        <v>75</v>
      </c>
      <c r="D393" s="53" t="s">
        <v>465</v>
      </c>
      <c r="E393" s="54">
        <v>1992</v>
      </c>
      <c r="F393" s="54">
        <v>2012</v>
      </c>
      <c r="G393" s="54" t="s">
        <v>64</v>
      </c>
      <c r="H393" s="54">
        <v>9</v>
      </c>
      <c r="I393" s="54">
        <v>2</v>
      </c>
      <c r="J393" s="55">
        <v>6461</v>
      </c>
      <c r="K393" s="55">
        <v>5606</v>
      </c>
      <c r="L393" s="55">
        <v>127.2</v>
      </c>
      <c r="M393" s="56">
        <v>222</v>
      </c>
      <c r="N393" s="112">
        <f t="shared" si="118"/>
        <v>8024685.8911048397</v>
      </c>
      <c r="O393" s="55"/>
      <c r="P393" s="63"/>
      <c r="Q393" s="63"/>
      <c r="R393" s="63">
        <v>5032110.2460000003</v>
      </c>
      <c r="S393" s="63">
        <v>2992575.6451048399</v>
      </c>
      <c r="T393" s="63">
        <v>0</v>
      </c>
      <c r="U393" s="63">
        <v>3111.0104919699202</v>
      </c>
      <c r="V393" s="63">
        <v>1225.2830200640001</v>
      </c>
      <c r="W393" s="59">
        <v>2023</v>
      </c>
      <c r="X393" s="6" t="e">
        <v>#REF!</v>
      </c>
      <c r="Z393" s="62">
        <f t="shared" si="123"/>
        <v>20270690.991399106</v>
      </c>
      <c r="AA393" s="55">
        <v>13437177.921135601</v>
      </c>
      <c r="AB393" s="55">
        <v>0</v>
      </c>
      <c r="AC393" s="55">
        <v>3970815.08896037</v>
      </c>
      <c r="AD393" s="55">
        <v>0</v>
      </c>
      <c r="AE393" s="55">
        <v>0</v>
      </c>
      <c r="AF393" s="55"/>
      <c r="AG393" s="55">
        <v>596995.06026331498</v>
      </c>
      <c r="AH393" s="55">
        <v>0</v>
      </c>
      <c r="AI393" s="55">
        <v>0</v>
      </c>
      <c r="AJ393" s="55">
        <v>0</v>
      </c>
      <c r="AK393" s="55">
        <v>0</v>
      </c>
      <c r="AL393" s="55">
        <v>0</v>
      </c>
      <c r="AM393" s="55">
        <v>1669263.38829149</v>
      </c>
      <c r="AN393" s="63">
        <v>202706.909913991</v>
      </c>
      <c r="AO393" s="64">
        <v>393732.62283434399</v>
      </c>
      <c r="AP393" s="61">
        <f>+N393-'Приложение №2'!E393</f>
        <v>0</v>
      </c>
      <c r="AQ393" s="65">
        <v>4203748.05</v>
      </c>
      <c r="AR393" s="3">
        <f>+(K393*13.95+L393*23.65)*12*0.85</f>
        <v>828362.196</v>
      </c>
      <c r="AS393" s="3">
        <f>+(K393*13.95+L393*23.65)*12*30</f>
        <v>29236312.800000001</v>
      </c>
      <c r="AT393" s="6">
        <f t="shared" si="119"/>
        <v>-26243737.15489516</v>
      </c>
      <c r="AU393" s="6" t="e">
        <v>#REF!</v>
      </c>
      <c r="AV393" s="6" t="e">
        <v>#REF!</v>
      </c>
      <c r="AW393" s="110">
        <f t="shared" si="120"/>
        <v>17440324.817983337</v>
      </c>
      <c r="AX393" s="55">
        <v>16337895.145822201</v>
      </c>
      <c r="AY393" s="55">
        <v>0</v>
      </c>
      <c r="AZ393" s="55">
        <v>0</v>
      </c>
      <c r="BA393" s="55">
        <v>0</v>
      </c>
      <c r="BB393" s="55">
        <v>0</v>
      </c>
      <c r="BC393" s="55"/>
      <c r="BD393" s="55">
        <v>729206.72105628904</v>
      </c>
      <c r="BE393" s="55">
        <v>0</v>
      </c>
      <c r="BF393" s="55">
        <v>0</v>
      </c>
      <c r="BG393" s="55">
        <v>0</v>
      </c>
      <c r="BH393" s="55">
        <v>0</v>
      </c>
      <c r="BI393" s="55">
        <v>0</v>
      </c>
      <c r="BJ393" s="55"/>
      <c r="BK393" s="63"/>
      <c r="BL393" s="64">
        <v>373222.95110484399</v>
      </c>
      <c r="BM393" s="110">
        <f t="shared" si="121"/>
        <v>17440324.817983337</v>
      </c>
      <c r="BN393" s="55">
        <v>16337895.145822201</v>
      </c>
      <c r="BO393" s="55">
        <v>0</v>
      </c>
      <c r="BP393" s="55">
        <v>0</v>
      </c>
      <c r="BQ393" s="55">
        <v>0</v>
      </c>
      <c r="BR393" s="55">
        <v>0</v>
      </c>
      <c r="BS393" s="55"/>
      <c r="BT393" s="55">
        <v>729206.72105628904</v>
      </c>
      <c r="BU393" s="55">
        <v>0</v>
      </c>
      <c r="BV393" s="55">
        <v>0</v>
      </c>
      <c r="BW393" s="55">
        <v>0</v>
      </c>
      <c r="BX393" s="55">
        <v>0</v>
      </c>
      <c r="BY393" s="55">
        <v>0</v>
      </c>
      <c r="BZ393" s="55"/>
      <c r="CA393" s="63"/>
      <c r="CB393" s="64">
        <v>373222.95110484399</v>
      </c>
    </row>
    <row r="394" spans="1:83" x14ac:dyDescent="0.25">
      <c r="A394" s="105">
        <f t="shared" si="122"/>
        <v>374</v>
      </c>
      <c r="B394" s="106">
        <f t="shared" si="124"/>
        <v>185</v>
      </c>
      <c r="C394" s="53" t="s">
        <v>75</v>
      </c>
      <c r="D394" s="53" t="s">
        <v>466</v>
      </c>
      <c r="E394" s="54">
        <v>1992</v>
      </c>
      <c r="F394" s="54">
        <v>2017</v>
      </c>
      <c r="G394" s="54" t="s">
        <v>64</v>
      </c>
      <c r="H394" s="54">
        <v>9</v>
      </c>
      <c r="I394" s="54">
        <v>2</v>
      </c>
      <c r="J394" s="55">
        <v>6450</v>
      </c>
      <c r="K394" s="55">
        <v>5551</v>
      </c>
      <c r="L394" s="55">
        <v>31</v>
      </c>
      <c r="M394" s="56">
        <v>215</v>
      </c>
      <c r="N394" s="112">
        <f t="shared" si="118"/>
        <v>18332812.000956498</v>
      </c>
      <c r="O394" s="55"/>
      <c r="P394" s="63"/>
      <c r="Q394" s="63"/>
      <c r="R394" s="63">
        <v>427549.7</v>
      </c>
      <c r="S394" s="63">
        <v>17905262.300956499</v>
      </c>
      <c r="T394" s="63">
        <v>0</v>
      </c>
      <c r="U394" s="63">
        <v>3354.1911729339699</v>
      </c>
      <c r="V394" s="63">
        <v>1226.2830200640001</v>
      </c>
      <c r="W394" s="59">
        <v>2023</v>
      </c>
      <c r="X394" s="6" t="e">
        <v>#REF!</v>
      </c>
      <c r="Z394" s="62">
        <f t="shared" si="123"/>
        <v>39482783.303666972</v>
      </c>
      <c r="AA394" s="55">
        <v>0</v>
      </c>
      <c r="AB394" s="55">
        <v>0</v>
      </c>
      <c r="AC394" s="55">
        <v>0</v>
      </c>
      <c r="AD394" s="55">
        <v>0</v>
      </c>
      <c r="AE394" s="55">
        <v>0</v>
      </c>
      <c r="AF394" s="55"/>
      <c r="AG394" s="55">
        <v>0</v>
      </c>
      <c r="AH394" s="55">
        <v>0</v>
      </c>
      <c r="AI394" s="55">
        <v>0</v>
      </c>
      <c r="AJ394" s="55">
        <v>0</v>
      </c>
      <c r="AK394" s="55">
        <v>38467833.172710501</v>
      </c>
      <c r="AL394" s="55">
        <v>0</v>
      </c>
      <c r="AM394" s="55">
        <v>149736.53</v>
      </c>
      <c r="AN394" s="55">
        <v>24000</v>
      </c>
      <c r="AO394" s="64">
        <v>841213.60095647303</v>
      </c>
      <c r="AP394" s="61">
        <f>+N394-'Приложение №2'!E394</f>
        <v>0</v>
      </c>
      <c r="AQ394" s="1" t="e">
        <v>#REF!</v>
      </c>
      <c r="AR394" s="3">
        <f>+(K394*13.95+L394*23.65)*12*0.85</f>
        <v>797329.91999999993</v>
      </c>
      <c r="AS394" s="3" t="e">
        <v>#REF!</v>
      </c>
      <c r="AT394" s="6" t="e">
        <f t="shared" si="119"/>
        <v>#REF!</v>
      </c>
      <c r="AU394" s="6" t="e">
        <v>#REF!</v>
      </c>
      <c r="AV394" s="6" t="e">
        <v>#REF!</v>
      </c>
      <c r="AW394" s="110">
        <f t="shared" si="120"/>
        <v>18619115.200956475</v>
      </c>
      <c r="AX394" s="55">
        <v>0</v>
      </c>
      <c r="AY394" s="55">
        <v>0</v>
      </c>
      <c r="AZ394" s="55">
        <v>0</v>
      </c>
      <c r="BA394" s="55">
        <v>0</v>
      </c>
      <c r="BB394" s="55">
        <v>0</v>
      </c>
      <c r="BC394" s="55"/>
      <c r="BD394" s="55"/>
      <c r="BE394" s="55">
        <v>0</v>
      </c>
      <c r="BF394" s="55">
        <v>0</v>
      </c>
      <c r="BG394" s="55">
        <v>0</v>
      </c>
      <c r="BH394" s="55">
        <v>17777901.600000001</v>
      </c>
      <c r="BI394" s="55">
        <v>0</v>
      </c>
      <c r="BJ394" s="55"/>
      <c r="BK394" s="55"/>
      <c r="BL394" s="111">
        <v>841213.60095647303</v>
      </c>
      <c r="BM394" s="110">
        <f t="shared" si="121"/>
        <v>18332812.000956472</v>
      </c>
      <c r="BN394" s="55">
        <v>0</v>
      </c>
      <c r="BO394" s="55">
        <v>0</v>
      </c>
      <c r="BP394" s="55">
        <v>0</v>
      </c>
      <c r="BQ394" s="55">
        <v>0</v>
      </c>
      <c r="BR394" s="55">
        <v>0</v>
      </c>
      <c r="BS394" s="55"/>
      <c r="BT394" s="55"/>
      <c r="BU394" s="55">
        <v>0</v>
      </c>
      <c r="BV394" s="55">
        <v>0</v>
      </c>
      <c r="BW394" s="55">
        <v>0</v>
      </c>
      <c r="BX394" s="55">
        <v>17491598.399999999</v>
      </c>
      <c r="BY394" s="55">
        <v>0</v>
      </c>
      <c r="BZ394" s="55"/>
      <c r="CA394" s="55"/>
      <c r="CB394" s="64">
        <v>841213.60095647303</v>
      </c>
      <c r="CD394" s="3"/>
    </row>
    <row r="395" spans="1:83" x14ac:dyDescent="0.25">
      <c r="A395" s="105">
        <f t="shared" si="122"/>
        <v>375</v>
      </c>
      <c r="B395" s="106">
        <f t="shared" si="124"/>
        <v>186</v>
      </c>
      <c r="C395" s="53" t="s">
        <v>75</v>
      </c>
      <c r="D395" s="53" t="s">
        <v>467</v>
      </c>
      <c r="E395" s="54">
        <v>1996</v>
      </c>
      <c r="F395" s="54">
        <v>1996</v>
      </c>
      <c r="G395" s="54" t="s">
        <v>64</v>
      </c>
      <c r="H395" s="54">
        <v>3</v>
      </c>
      <c r="I395" s="54">
        <v>2</v>
      </c>
      <c r="J395" s="55">
        <v>1212.9000000000001</v>
      </c>
      <c r="K395" s="55">
        <v>969.5</v>
      </c>
      <c r="L395" s="55">
        <v>83.1</v>
      </c>
      <c r="M395" s="56">
        <v>29</v>
      </c>
      <c r="N395" s="112">
        <f t="shared" si="118"/>
        <v>2908357.47015463</v>
      </c>
      <c r="O395" s="55"/>
      <c r="P395" s="63"/>
      <c r="Q395" s="63"/>
      <c r="R395" s="63">
        <v>794591.09</v>
      </c>
      <c r="S395" s="63">
        <v>2113766.3801546302</v>
      </c>
      <c r="T395" s="63">
        <v>0</v>
      </c>
      <c r="U395" s="63">
        <v>3522.7069644110902</v>
      </c>
      <c r="V395" s="63">
        <v>1230.2830200640001</v>
      </c>
      <c r="W395" s="59">
        <v>2023</v>
      </c>
      <c r="X395" s="6" t="e">
        <v>#REF!</v>
      </c>
      <c r="Z395" s="62">
        <f t="shared" si="123"/>
        <v>8757819.8399999999</v>
      </c>
      <c r="AA395" s="55">
        <v>4004514.1821484799</v>
      </c>
      <c r="AB395" s="55">
        <v>2086346.4776985601</v>
      </c>
      <c r="AC395" s="55">
        <v>863302.14653759997</v>
      </c>
      <c r="AD395" s="55">
        <v>448610.79529728001</v>
      </c>
      <c r="AE395" s="55">
        <v>0</v>
      </c>
      <c r="AF395" s="55"/>
      <c r="AG395" s="55">
        <v>327305.36184192001</v>
      </c>
      <c r="AH395" s="55">
        <v>0</v>
      </c>
      <c r="AI395" s="55">
        <v>0</v>
      </c>
      <c r="AJ395" s="55">
        <v>0</v>
      </c>
      <c r="AK395" s="55">
        <v>0</v>
      </c>
      <c r="AL395" s="55">
        <v>0</v>
      </c>
      <c r="AM395" s="55">
        <v>771121.50719999999</v>
      </c>
      <c r="AN395" s="63">
        <v>87578.198399999994</v>
      </c>
      <c r="AO395" s="64">
        <v>169041.17087616</v>
      </c>
      <c r="AP395" s="61">
        <f>+N395-'Приложение №2'!E395</f>
        <v>0</v>
      </c>
      <c r="AQ395" s="65">
        <v>672957.62</v>
      </c>
      <c r="AR395" s="3">
        <f>+(K395*10.5+L395*21)*12*0.85</f>
        <v>121633.47</v>
      </c>
      <c r="AS395" s="3">
        <f>+(K395*10.5+L395*21)*12*30</f>
        <v>4292946</v>
      </c>
      <c r="AT395" s="6">
        <f t="shared" si="119"/>
        <v>-2179179.6198453698</v>
      </c>
      <c r="AU395" s="6" t="e">
        <v>#REF!</v>
      </c>
      <c r="AV395" s="6" t="e">
        <v>#REF!</v>
      </c>
      <c r="AW395" s="110">
        <f t="shared" si="120"/>
        <v>3415264.4019965469</v>
      </c>
      <c r="AX395" s="55">
        <v>2105749.0699999998</v>
      </c>
      <c r="AY395" s="55"/>
      <c r="AZ395" s="55"/>
      <c r="BA395" s="55">
        <v>888374.4</v>
      </c>
      <c r="BB395" s="55">
        <v>0</v>
      </c>
      <c r="BC395" s="55"/>
      <c r="BD395" s="55">
        <v>327305.36184192001</v>
      </c>
      <c r="BE395" s="55">
        <v>0</v>
      </c>
      <c r="BF395" s="55">
        <v>0</v>
      </c>
      <c r="BG395" s="55"/>
      <c r="BH395" s="55">
        <v>0</v>
      </c>
      <c r="BI395" s="55">
        <v>0</v>
      </c>
      <c r="BJ395" s="55"/>
      <c r="BK395" s="63"/>
      <c r="BL395" s="111">
        <v>93835.570154627305</v>
      </c>
      <c r="BM395" s="110">
        <f t="shared" si="121"/>
        <v>3415264.4019965469</v>
      </c>
      <c r="BN395" s="55">
        <v>2105749.0699999998</v>
      </c>
      <c r="BO395" s="55"/>
      <c r="BP395" s="55"/>
      <c r="BQ395" s="55">
        <v>888374.4</v>
      </c>
      <c r="BR395" s="55">
        <v>0</v>
      </c>
      <c r="BS395" s="55"/>
      <c r="BT395" s="55">
        <v>327305.36184192001</v>
      </c>
      <c r="BU395" s="55">
        <v>0</v>
      </c>
      <c r="BV395" s="55">
        <v>0</v>
      </c>
      <c r="BW395" s="55"/>
      <c r="BX395" s="55">
        <v>0</v>
      </c>
      <c r="BY395" s="55">
        <v>0</v>
      </c>
      <c r="BZ395" s="55"/>
      <c r="CA395" s="63"/>
      <c r="CB395" s="64">
        <v>93835.570154627305</v>
      </c>
      <c r="CD395" s="6"/>
    </row>
    <row r="396" spans="1:83" x14ac:dyDescent="0.25">
      <c r="A396" s="105">
        <f t="shared" si="122"/>
        <v>376</v>
      </c>
      <c r="B396" s="106">
        <f t="shared" si="124"/>
        <v>187</v>
      </c>
      <c r="C396" s="53" t="s">
        <v>75</v>
      </c>
      <c r="D396" s="53" t="s">
        <v>468</v>
      </c>
      <c r="E396" s="54">
        <v>1988</v>
      </c>
      <c r="F396" s="54">
        <v>2017</v>
      </c>
      <c r="G396" s="54" t="s">
        <v>64</v>
      </c>
      <c r="H396" s="54">
        <v>9</v>
      </c>
      <c r="I396" s="54">
        <v>3</v>
      </c>
      <c r="J396" s="55">
        <v>8927</v>
      </c>
      <c r="K396" s="55">
        <v>7116.5</v>
      </c>
      <c r="L396" s="55">
        <v>0</v>
      </c>
      <c r="M396" s="56">
        <v>291</v>
      </c>
      <c r="N396" s="112">
        <f t="shared" si="118"/>
        <v>8091643.8616000004</v>
      </c>
      <c r="O396" s="55"/>
      <c r="P396" s="63"/>
      <c r="Q396" s="63"/>
      <c r="R396" s="63">
        <v>6657296.7949999999</v>
      </c>
      <c r="S396" s="63">
        <v>1434347.0666</v>
      </c>
      <c r="T396" s="63">
        <v>0</v>
      </c>
      <c r="U396" s="63">
        <v>1176.18185640141</v>
      </c>
      <c r="V396" s="63">
        <v>1229.2830200640001</v>
      </c>
      <c r="W396" s="59">
        <v>2023</v>
      </c>
      <c r="X396" s="6" t="e">
        <v>#REF!</v>
      </c>
      <c r="Z396" s="62">
        <f t="shared" si="123"/>
        <v>8403162.2358746398</v>
      </c>
      <c r="AA396" s="55">
        <v>0</v>
      </c>
      <c r="AB396" s="55">
        <v>0</v>
      </c>
      <c r="AC396" s="55">
        <v>0</v>
      </c>
      <c r="AD396" s="55">
        <v>0</v>
      </c>
      <c r="AE396" s="55">
        <v>0</v>
      </c>
      <c r="AF396" s="55"/>
      <c r="AG396" s="55">
        <v>0</v>
      </c>
      <c r="AH396" s="55">
        <v>0</v>
      </c>
      <c r="AI396" s="55">
        <v>7401001.10762423</v>
      </c>
      <c r="AJ396" s="55">
        <v>0</v>
      </c>
      <c r="AK396" s="55">
        <v>0</v>
      </c>
      <c r="AL396" s="55">
        <v>0</v>
      </c>
      <c r="AM396" s="55">
        <v>756284.60122871795</v>
      </c>
      <c r="AN396" s="63">
        <v>84031.622358746405</v>
      </c>
      <c r="AO396" s="64">
        <v>161844.90466294601</v>
      </c>
      <c r="AP396" s="61">
        <f>+N396-'Приложение №2'!E396</f>
        <v>5.1937252283096313E-4</v>
      </c>
      <c r="AQ396" s="65">
        <v>5644690.0099999998</v>
      </c>
      <c r="AR396" s="3">
        <f>+(K396*13.95+L396*23.65)*12*0.85</f>
        <v>1012606.7849999998</v>
      </c>
      <c r="AS396" s="3">
        <f>+(K396*13.95+L396*23.65)*12*30</f>
        <v>35739062.999999993</v>
      </c>
      <c r="AT396" s="6">
        <f t="shared" si="119"/>
        <v>-34304715.93339999</v>
      </c>
      <c r="AU396" s="6" t="e">
        <v>#REF!</v>
      </c>
      <c r="AV396" s="6" t="e">
        <v>#REF!</v>
      </c>
      <c r="AW396" s="110">
        <f t="shared" si="120"/>
        <v>8370298.1810806282</v>
      </c>
      <c r="AX396" s="55">
        <v>0</v>
      </c>
      <c r="AY396" s="55">
        <v>0</v>
      </c>
      <c r="AZ396" s="55">
        <v>0</v>
      </c>
      <c r="BA396" s="55">
        <v>0</v>
      </c>
      <c r="BB396" s="55">
        <v>0</v>
      </c>
      <c r="BC396" s="55"/>
      <c r="BD396" s="55"/>
      <c r="BE396" s="55">
        <v>0</v>
      </c>
      <c r="BF396" s="55">
        <v>8193337.4100000001</v>
      </c>
      <c r="BG396" s="55">
        <v>0</v>
      </c>
      <c r="BH396" s="55">
        <v>0</v>
      </c>
      <c r="BI396" s="55">
        <v>0</v>
      </c>
      <c r="BJ396" s="55"/>
      <c r="BK396" s="63"/>
      <c r="BL396" s="111">
        <v>176960.77108062801</v>
      </c>
      <c r="BM396" s="110">
        <f t="shared" si="121"/>
        <v>8370298.1810806282</v>
      </c>
      <c r="BN396" s="55">
        <v>0</v>
      </c>
      <c r="BO396" s="55">
        <v>0</v>
      </c>
      <c r="BP396" s="55">
        <v>0</v>
      </c>
      <c r="BQ396" s="55">
        <v>0</v>
      </c>
      <c r="BR396" s="55">
        <v>0</v>
      </c>
      <c r="BS396" s="55"/>
      <c r="BT396" s="55"/>
      <c r="BU396" s="55">
        <v>0</v>
      </c>
      <c r="BV396" s="55">
        <v>8193337.4100000001</v>
      </c>
      <c r="BW396" s="55">
        <v>0</v>
      </c>
      <c r="BX396" s="55">
        <v>0</v>
      </c>
      <c r="BY396" s="55">
        <v>0</v>
      </c>
      <c r="BZ396" s="55"/>
      <c r="CA396" s="63"/>
      <c r="CB396" s="64">
        <v>176960.77108062801</v>
      </c>
      <c r="CD396" s="3"/>
    </row>
    <row r="397" spans="1:83" x14ac:dyDescent="0.25">
      <c r="A397" s="105">
        <f t="shared" si="122"/>
        <v>377</v>
      </c>
      <c r="B397" s="106">
        <f t="shared" si="124"/>
        <v>188</v>
      </c>
      <c r="C397" s="53" t="s">
        <v>75</v>
      </c>
      <c r="D397" s="53" t="s">
        <v>105</v>
      </c>
      <c r="E397" s="54">
        <v>1987</v>
      </c>
      <c r="F397" s="54">
        <v>2017</v>
      </c>
      <c r="G397" s="54" t="s">
        <v>64</v>
      </c>
      <c r="H397" s="54">
        <v>9</v>
      </c>
      <c r="I397" s="54">
        <v>1</v>
      </c>
      <c r="J397" s="55">
        <v>2767.8</v>
      </c>
      <c r="K397" s="55">
        <v>2150.8000000000002</v>
      </c>
      <c r="L397" s="55">
        <v>66.8</v>
      </c>
      <c r="M397" s="56">
        <v>94</v>
      </c>
      <c r="N397" s="112">
        <f t="shared" si="118"/>
        <v>2572394.1991615798</v>
      </c>
      <c r="O397" s="55"/>
      <c r="P397" s="63"/>
      <c r="Q397" s="63"/>
      <c r="R397" s="63">
        <v>1519991.2744384201</v>
      </c>
      <c r="S397" s="63">
        <v>1052402.92472316</v>
      </c>
      <c r="T397" s="63">
        <v>0</v>
      </c>
      <c r="U397" s="55">
        <v>2676.72321472355</v>
      </c>
      <c r="V397" s="55">
        <v>2676.72321472355</v>
      </c>
      <c r="W397" s="59">
        <v>2023</v>
      </c>
      <c r="X397" s="6" t="e">
        <v>#REF!</v>
      </c>
      <c r="Z397" s="62">
        <f t="shared" si="123"/>
        <v>24358296.106563538</v>
      </c>
      <c r="AA397" s="55">
        <v>5322442.2844350599</v>
      </c>
      <c r="AB397" s="55">
        <v>2129484.5377048999</v>
      </c>
      <c r="AC397" s="55">
        <v>0</v>
      </c>
      <c r="AD397" s="55">
        <v>0</v>
      </c>
      <c r="AE397" s="55">
        <v>0</v>
      </c>
      <c r="AF397" s="55"/>
      <c r="AG397" s="55">
        <v>236468.681965311</v>
      </c>
      <c r="AH397" s="55">
        <v>0</v>
      </c>
      <c r="AI397" s="55">
        <v>0</v>
      </c>
      <c r="AJ397" s="55">
        <v>0</v>
      </c>
      <c r="AK397" s="55">
        <v>13665253.1882038</v>
      </c>
      <c r="AL397" s="55">
        <v>0</v>
      </c>
      <c r="AM397" s="55">
        <v>2294103.4047365398</v>
      </c>
      <c r="AN397" s="63">
        <v>243582.961065635</v>
      </c>
      <c r="AO397" s="64">
        <v>466961.04845229199</v>
      </c>
      <c r="AP397" s="61">
        <f>+N397-'Приложение №2'!E397</f>
        <v>0</v>
      </c>
      <c r="AQ397" s="1">
        <v>1394329.46</v>
      </c>
      <c r="AR397" s="3">
        <f>+(K397*13.29+L397*22.52)*12*0.85</f>
        <v>306902.37360000005</v>
      </c>
      <c r="AS397" s="3">
        <f>+(K397*13.29+L397*22.52)*12*30</f>
        <v>10831848.48</v>
      </c>
      <c r="AT397" s="6">
        <f t="shared" si="119"/>
        <v>-9779445.5552768409</v>
      </c>
      <c r="AU397" s="6" t="e">
        <v>#REF!</v>
      </c>
      <c r="AV397" s="6" t="e">
        <v>#REF!</v>
      </c>
      <c r="AW397" s="62">
        <f t="shared" si="120"/>
        <v>5935901.4009709405</v>
      </c>
      <c r="AX397" s="55">
        <v>5754660.8418093603</v>
      </c>
      <c r="AY397" s="55"/>
      <c r="AZ397" s="55">
        <v>0</v>
      </c>
      <c r="BA397" s="55">
        <v>0</v>
      </c>
      <c r="BB397" s="55">
        <v>0</v>
      </c>
      <c r="BC397" s="55"/>
      <c r="BD397" s="55"/>
      <c r="BE397" s="55"/>
      <c r="BF397" s="55"/>
      <c r="BG397" s="55"/>
      <c r="BH397" s="55"/>
      <c r="BI397" s="55">
        <v>0</v>
      </c>
      <c r="BJ397" s="55"/>
      <c r="BK397" s="63"/>
      <c r="BL397" s="111">
        <v>181240.55916157999</v>
      </c>
      <c r="BM397" s="62">
        <f t="shared" si="121"/>
        <v>5935901.4009709405</v>
      </c>
      <c r="BN397" s="55">
        <v>5754660.8418093603</v>
      </c>
      <c r="BO397" s="55"/>
      <c r="BP397" s="55">
        <v>0</v>
      </c>
      <c r="BQ397" s="55">
        <v>0</v>
      </c>
      <c r="BR397" s="55">
        <v>0</v>
      </c>
      <c r="BS397" s="55"/>
      <c r="BT397" s="55"/>
      <c r="BU397" s="55"/>
      <c r="BV397" s="55"/>
      <c r="BW397" s="55"/>
      <c r="BX397" s="55"/>
      <c r="BY397" s="55">
        <v>0</v>
      </c>
      <c r="BZ397" s="55"/>
      <c r="CA397" s="63"/>
      <c r="CB397" s="64">
        <v>181240.55916157999</v>
      </c>
      <c r="CD397" s="6"/>
    </row>
    <row r="398" spans="1:83" x14ac:dyDescent="0.25">
      <c r="A398" s="105">
        <f t="shared" si="122"/>
        <v>378</v>
      </c>
      <c r="B398" s="106" t="s">
        <v>455</v>
      </c>
      <c r="C398" s="53" t="s">
        <v>75</v>
      </c>
      <c r="D398" s="53" t="s">
        <v>309</v>
      </c>
      <c r="E398" s="54">
        <v>1987</v>
      </c>
      <c r="F398" s="54">
        <v>2016</v>
      </c>
      <c r="G398" s="54" t="s">
        <v>64</v>
      </c>
      <c r="H398" s="54">
        <v>5</v>
      </c>
      <c r="I398" s="54">
        <v>5</v>
      </c>
      <c r="J398" s="55">
        <v>7155.6</v>
      </c>
      <c r="K398" s="55">
        <v>5789.5</v>
      </c>
      <c r="L398" s="55">
        <v>194.7</v>
      </c>
      <c r="M398" s="56">
        <v>243</v>
      </c>
      <c r="N398" s="112">
        <f t="shared" si="118"/>
        <v>8700895.6415778007</v>
      </c>
      <c r="O398" s="55"/>
      <c r="P398" s="63"/>
      <c r="Q398" s="63"/>
      <c r="R398" s="63">
        <v>2710502.18</v>
      </c>
      <c r="S398" s="63">
        <v>5990393.4615778001</v>
      </c>
      <c r="T398" s="63"/>
      <c r="U398" s="63">
        <v>3248.37212020894</v>
      </c>
      <c r="V398" s="63">
        <v>1235.2830200640001</v>
      </c>
      <c r="W398" s="59">
        <v>2023</v>
      </c>
      <c r="X398" s="6" t="e">
        <v>#REF!</v>
      </c>
      <c r="Z398" s="62">
        <f t="shared" si="123"/>
        <v>41277450.38367226</v>
      </c>
      <c r="AA398" s="55">
        <v>11858561.0386538</v>
      </c>
      <c r="AB398" s="55">
        <v>0</v>
      </c>
      <c r="AC398" s="55">
        <v>0</v>
      </c>
      <c r="AD398" s="55">
        <v>4785667.37036476</v>
      </c>
      <c r="AE398" s="55">
        <v>0</v>
      </c>
      <c r="AF398" s="55"/>
      <c r="AG398" s="55">
        <v>0</v>
      </c>
      <c r="AH398" s="55">
        <v>0</v>
      </c>
      <c r="AI398" s="55">
        <v>19618197.919447601</v>
      </c>
      <c r="AJ398" s="55">
        <v>0</v>
      </c>
      <c r="AK398" s="55">
        <v>0</v>
      </c>
      <c r="AL398" s="55">
        <v>0</v>
      </c>
      <c r="AM398" s="55">
        <v>3809263.7313927002</v>
      </c>
      <c r="AN398" s="63">
        <v>412774.50383672299</v>
      </c>
      <c r="AO398" s="64">
        <v>792985.81997667695</v>
      </c>
      <c r="AP398" s="61">
        <f>+N398-'Приложение №2'!E398</f>
        <v>8.0093741416931152E-7</v>
      </c>
      <c r="AQ398" s="65">
        <f>3643194.21-R51</f>
        <v>2456189.5706259198</v>
      </c>
      <c r="AR398" s="3">
        <f>+(K398*10.5+L398*21)*12*0.85</f>
        <v>661760.18999999994</v>
      </c>
      <c r="AS398" s="3">
        <f>+(K398*10.5+L398*21)*12*30-S51</f>
        <v>15819783.839999996</v>
      </c>
      <c r="AT398" s="6">
        <f t="shared" si="119"/>
        <v>-9829390.378422197</v>
      </c>
      <c r="AU398" s="6" t="e">
        <v>#REF!</v>
      </c>
      <c r="AV398" s="6" t="e">
        <v>#REF!</v>
      </c>
      <c r="AW398" s="110">
        <f t="shared" si="120"/>
        <v>18806450.389949661</v>
      </c>
      <c r="AX398" s="55"/>
      <c r="AY398" s="55">
        <v>0</v>
      </c>
      <c r="AZ398" s="55">
        <v>0</v>
      </c>
      <c r="BA398" s="55">
        <v>5691095.7505916599</v>
      </c>
      <c r="BB398" s="55">
        <v>0</v>
      </c>
      <c r="BC398" s="55"/>
      <c r="BD398" s="55"/>
      <c r="BE398" s="55">
        <v>0</v>
      </c>
      <c r="BF398" s="55"/>
      <c r="BG398" s="55">
        <v>12028791.937781001</v>
      </c>
      <c r="BH398" s="55">
        <v>0</v>
      </c>
      <c r="BI398" s="55">
        <v>0</v>
      </c>
      <c r="BJ398" s="55"/>
      <c r="BK398" s="63"/>
      <c r="BL398" s="64">
        <v>1086562.7015770001</v>
      </c>
      <c r="BM398" s="110">
        <f t="shared" si="121"/>
        <v>18806450.389949661</v>
      </c>
      <c r="BN398" s="55"/>
      <c r="BO398" s="55">
        <v>0</v>
      </c>
      <c r="BP398" s="55">
        <v>0</v>
      </c>
      <c r="BQ398" s="55">
        <v>5691095.7505916599</v>
      </c>
      <c r="BR398" s="55">
        <v>0</v>
      </c>
      <c r="BS398" s="55"/>
      <c r="BT398" s="55"/>
      <c r="BU398" s="55">
        <v>0</v>
      </c>
      <c r="BV398" s="55"/>
      <c r="BW398" s="55">
        <v>12028791.937781001</v>
      </c>
      <c r="BX398" s="55">
        <v>0</v>
      </c>
      <c r="BY398" s="55">
        <v>0</v>
      </c>
      <c r="BZ398" s="55"/>
      <c r="CA398" s="63"/>
      <c r="CB398" s="64">
        <v>1086562.7015770001</v>
      </c>
      <c r="CE398" s="3"/>
    </row>
    <row r="399" spans="1:83" x14ac:dyDescent="0.25">
      <c r="A399" s="105">
        <f t="shared" si="122"/>
        <v>379</v>
      </c>
      <c r="B399" s="107">
        <v>189</v>
      </c>
      <c r="C399" s="53" t="s">
        <v>75</v>
      </c>
      <c r="D399" s="53" t="s">
        <v>469</v>
      </c>
      <c r="E399" s="54">
        <v>1993</v>
      </c>
      <c r="F399" s="54">
        <v>2017</v>
      </c>
      <c r="G399" s="54" t="s">
        <v>64</v>
      </c>
      <c r="H399" s="54">
        <v>9</v>
      </c>
      <c r="I399" s="54">
        <v>2</v>
      </c>
      <c r="J399" s="55">
        <v>6530.5</v>
      </c>
      <c r="K399" s="55">
        <v>5640.1</v>
      </c>
      <c r="L399" s="55">
        <v>180</v>
      </c>
      <c r="M399" s="56">
        <v>226</v>
      </c>
      <c r="N399" s="112">
        <f t="shared" si="118"/>
        <v>22725620.9457171</v>
      </c>
      <c r="O399" s="55"/>
      <c r="P399" s="63"/>
      <c r="Q399" s="63"/>
      <c r="R399" s="63">
        <v>5156055.449</v>
      </c>
      <c r="S399" s="63">
        <v>17569565.496717099</v>
      </c>
      <c r="T399" s="113"/>
      <c r="U399" s="63">
        <v>7036.0151839712798</v>
      </c>
      <c r="V399" s="63">
        <v>1237.2830200640001</v>
      </c>
      <c r="W399" s="59">
        <v>2023</v>
      </c>
      <c r="X399" s="6" t="e">
        <v>#REF!</v>
      </c>
      <c r="Z399" s="62">
        <f t="shared" si="123"/>
        <v>39857867.979116388</v>
      </c>
      <c r="AA399" s="55">
        <v>0</v>
      </c>
      <c r="AB399" s="55">
        <v>0</v>
      </c>
      <c r="AC399" s="55">
        <v>0</v>
      </c>
      <c r="AD399" s="55">
        <v>0</v>
      </c>
      <c r="AE399" s="55">
        <v>0</v>
      </c>
      <c r="AF399" s="55"/>
      <c r="AG399" s="55">
        <v>0</v>
      </c>
      <c r="AH399" s="55">
        <v>0</v>
      </c>
      <c r="AI399" s="55">
        <v>0</v>
      </c>
      <c r="AJ399" s="55">
        <v>0</v>
      </c>
      <c r="AK399" s="55">
        <v>38834595.293399297</v>
      </c>
      <c r="AL399" s="55">
        <v>0</v>
      </c>
      <c r="AM399" s="55">
        <v>150038.74</v>
      </c>
      <c r="AN399" s="55">
        <v>24000</v>
      </c>
      <c r="AO399" s="64">
        <v>849233.94571709202</v>
      </c>
      <c r="AP399" s="61">
        <f>+N399-'Приложение №2'!E399</f>
        <v>0</v>
      </c>
      <c r="AQ399" s="65">
        <v>4310104.22</v>
      </c>
      <c r="AR399" s="3">
        <f>+(K399*13.95+L399*23.65)*12*0.85</f>
        <v>845951.22899999993</v>
      </c>
      <c r="AS399" s="3">
        <f>+(K399*13.95+L399*23.65)*12*30</f>
        <v>29857102.199999999</v>
      </c>
      <c r="AT399" s="6">
        <f t="shared" si="119"/>
        <v>-12287536.7032829</v>
      </c>
      <c r="AU399" s="6" t="e">
        <v>#REF!</v>
      </c>
      <c r="AV399" s="6" t="e">
        <v>#REF!</v>
      </c>
      <c r="AW399" s="110">
        <f t="shared" si="120"/>
        <v>39683829.239116386</v>
      </c>
      <c r="AX399" s="55">
        <v>0</v>
      </c>
      <c r="AY399" s="55">
        <v>0</v>
      </c>
      <c r="AZ399" s="55">
        <v>0</v>
      </c>
      <c r="BA399" s="55">
        <v>0</v>
      </c>
      <c r="BB399" s="55">
        <v>0</v>
      </c>
      <c r="BC399" s="55"/>
      <c r="BD399" s="55"/>
      <c r="BE399" s="55">
        <v>0</v>
      </c>
      <c r="BF399" s="55">
        <v>0</v>
      </c>
      <c r="BG399" s="55">
        <v>0</v>
      </c>
      <c r="BH399" s="55">
        <v>38834595.293399297</v>
      </c>
      <c r="BI399" s="55">
        <v>0</v>
      </c>
      <c r="BJ399" s="55"/>
      <c r="BK399" s="55"/>
      <c r="BL399" s="111">
        <v>849233.94571709202</v>
      </c>
      <c r="BM399" s="110">
        <f t="shared" si="121"/>
        <v>39683829.239116386</v>
      </c>
      <c r="BN399" s="55">
        <v>0</v>
      </c>
      <c r="BO399" s="55">
        <v>0</v>
      </c>
      <c r="BP399" s="55">
        <v>0</v>
      </c>
      <c r="BQ399" s="55">
        <v>0</v>
      </c>
      <c r="BR399" s="55">
        <v>0</v>
      </c>
      <c r="BS399" s="55"/>
      <c r="BT399" s="55"/>
      <c r="BU399" s="55">
        <v>0</v>
      </c>
      <c r="BV399" s="55">
        <v>0</v>
      </c>
      <c r="BW399" s="55">
        <v>0</v>
      </c>
      <c r="BX399" s="55">
        <v>38834595.293399297</v>
      </c>
      <c r="BY399" s="55">
        <v>0</v>
      </c>
      <c r="BZ399" s="55"/>
      <c r="CA399" s="55"/>
      <c r="CB399" s="64">
        <v>849233.94571709202</v>
      </c>
      <c r="CD399" s="3"/>
    </row>
    <row r="400" spans="1:83" x14ac:dyDescent="0.25">
      <c r="A400" s="105">
        <f t="shared" si="122"/>
        <v>380</v>
      </c>
      <c r="B400" s="107" t="s">
        <v>455</v>
      </c>
      <c r="C400" s="53" t="s">
        <v>75</v>
      </c>
      <c r="D400" s="53" t="s">
        <v>316</v>
      </c>
      <c r="E400" s="54">
        <v>1991</v>
      </c>
      <c r="F400" s="54">
        <v>2017</v>
      </c>
      <c r="G400" s="54" t="s">
        <v>64</v>
      </c>
      <c r="H400" s="54">
        <v>9</v>
      </c>
      <c r="I400" s="54">
        <v>1</v>
      </c>
      <c r="J400" s="55">
        <v>3271</v>
      </c>
      <c r="K400" s="55">
        <v>2814.6</v>
      </c>
      <c r="L400" s="55">
        <v>0</v>
      </c>
      <c r="M400" s="56">
        <v>93</v>
      </c>
      <c r="N400" s="112">
        <f t="shared" si="118"/>
        <v>2349499.1638008701</v>
      </c>
      <c r="O400" s="55"/>
      <c r="P400" s="63"/>
      <c r="Q400" s="63"/>
      <c r="R400" s="63">
        <v>1120876</v>
      </c>
      <c r="S400" s="63">
        <v>1228623.1638008701</v>
      </c>
      <c r="T400" s="63"/>
      <c r="U400" s="63">
        <v>3490.9418391755999</v>
      </c>
      <c r="V400" s="63">
        <v>1243.2830200640001</v>
      </c>
      <c r="W400" s="59">
        <v>2023</v>
      </c>
      <c r="X400" s="6" t="e">
        <v>#REF!</v>
      </c>
      <c r="Z400" s="62">
        <f t="shared" si="123"/>
        <v>12536948.214155668</v>
      </c>
      <c r="AA400" s="55">
        <v>6765674.3157313103</v>
      </c>
      <c r="AB400" s="55">
        <v>2706914.9973932002</v>
      </c>
      <c r="AC400" s="55">
        <v>0</v>
      </c>
      <c r="AD400" s="55">
        <v>1277658.235625</v>
      </c>
      <c r="AE400" s="55">
        <v>0</v>
      </c>
      <c r="AF400" s="55"/>
      <c r="AG400" s="55">
        <v>300589.46674277697</v>
      </c>
      <c r="AH400" s="55">
        <v>0</v>
      </c>
      <c r="AI400" s="55">
        <v>0</v>
      </c>
      <c r="AJ400" s="55">
        <v>0</v>
      </c>
      <c r="AK400" s="55">
        <v>0</v>
      </c>
      <c r="AL400" s="55">
        <v>0</v>
      </c>
      <c r="AM400" s="55">
        <v>1119082.29272095</v>
      </c>
      <c r="AN400" s="63">
        <v>125369.482141557</v>
      </c>
      <c r="AO400" s="64">
        <v>241659.42380087401</v>
      </c>
      <c r="AP400" s="61">
        <f>+N400-'Приложение №2'!E400</f>
        <v>-4.1909515857696533E-9</v>
      </c>
      <c r="AQ400" s="65">
        <v>2237132.42</v>
      </c>
      <c r="AR400" s="3">
        <f>+(K400*13.95+L400*23.65)*12*0.85</f>
        <v>400489.43399999995</v>
      </c>
      <c r="AS400" s="3">
        <f>+(K400*13.95+L400*23.65)*12*30</f>
        <v>14134921.199999999</v>
      </c>
      <c r="AT400" s="6">
        <f t="shared" si="119"/>
        <v>-12906298.03619913</v>
      </c>
      <c r="AU400" s="6" t="e">
        <v>#REF!</v>
      </c>
      <c r="AV400" s="6" t="e">
        <v>#REF!</v>
      </c>
      <c r="AW400" s="110">
        <f t="shared" si="120"/>
        <v>9825604.9005436506</v>
      </c>
      <c r="AX400" s="55">
        <v>4922338.54</v>
      </c>
      <c r="AY400" s="55">
        <v>2955743</v>
      </c>
      <c r="AZ400" s="55">
        <v>0</v>
      </c>
      <c r="BA400" s="55">
        <v>1405274.47</v>
      </c>
      <c r="BB400" s="55">
        <v>0</v>
      </c>
      <c r="BC400" s="55"/>
      <c r="BD400" s="55">
        <v>300589.46674277697</v>
      </c>
      <c r="BE400" s="55">
        <v>0</v>
      </c>
      <c r="BF400" s="55">
        <v>0</v>
      </c>
      <c r="BG400" s="55">
        <v>0</v>
      </c>
      <c r="BH400" s="55">
        <v>0</v>
      </c>
      <c r="BI400" s="55">
        <v>0</v>
      </c>
      <c r="BJ400" s="55"/>
      <c r="BK400" s="63"/>
      <c r="BL400" s="111">
        <v>241659.42380087401</v>
      </c>
      <c r="BM400" s="110">
        <f t="shared" si="121"/>
        <v>9478497.2005436514</v>
      </c>
      <c r="BN400" s="55">
        <v>4922338.54</v>
      </c>
      <c r="BO400" s="55">
        <v>2639754.41</v>
      </c>
      <c r="BP400" s="55">
        <v>0</v>
      </c>
      <c r="BQ400" s="55">
        <v>1374155.36</v>
      </c>
      <c r="BR400" s="55">
        <v>0</v>
      </c>
      <c r="BS400" s="55"/>
      <c r="BT400" s="55">
        <v>300589.46674277697</v>
      </c>
      <c r="BU400" s="55">
        <v>0</v>
      </c>
      <c r="BV400" s="55">
        <v>0</v>
      </c>
      <c r="BW400" s="55">
        <v>0</v>
      </c>
      <c r="BX400" s="55">
        <v>0</v>
      </c>
      <c r="BY400" s="55">
        <v>0</v>
      </c>
      <c r="BZ400" s="55"/>
      <c r="CA400" s="63"/>
      <c r="CB400" s="64">
        <v>241659.42380087401</v>
      </c>
      <c r="CD400" s="3"/>
    </row>
    <row r="401" spans="1:84" s="69" customFormat="1" x14ac:dyDescent="0.25">
      <c r="A401" s="105">
        <f t="shared" si="122"/>
        <v>381</v>
      </c>
      <c r="B401" s="107">
        <v>190</v>
      </c>
      <c r="C401" s="53" t="s">
        <v>75</v>
      </c>
      <c r="D401" s="53" t="s">
        <v>470</v>
      </c>
      <c r="E401" s="54" t="s">
        <v>263</v>
      </c>
      <c r="F401" s="54"/>
      <c r="G401" s="54" t="s">
        <v>64</v>
      </c>
      <c r="H401" s="54" t="s">
        <v>123</v>
      </c>
      <c r="I401" s="54" t="s">
        <v>229</v>
      </c>
      <c r="J401" s="55">
        <v>3182.4</v>
      </c>
      <c r="K401" s="55">
        <v>2718.2</v>
      </c>
      <c r="L401" s="55">
        <v>0</v>
      </c>
      <c r="M401" s="56">
        <v>99</v>
      </c>
      <c r="N401" s="112">
        <f t="shared" si="118"/>
        <v>2367123.64372173</v>
      </c>
      <c r="O401" s="55">
        <v>0</v>
      </c>
      <c r="P401" s="63"/>
      <c r="Q401" s="63">
        <v>0</v>
      </c>
      <c r="R401" s="63">
        <v>771389.31</v>
      </c>
      <c r="S401" s="63">
        <v>1595734.3337217299</v>
      </c>
      <c r="T401" s="63"/>
      <c r="U401" s="55">
        <v>4870.98769327849</v>
      </c>
      <c r="V401" s="55">
        <v>4870.98769327849</v>
      </c>
      <c r="W401" s="59">
        <v>2023</v>
      </c>
      <c r="X401" s="69">
        <v>1300878.49</v>
      </c>
      <c r="Y401" s="69">
        <f>+(K401*12.08+L401*20.47)*12</f>
        <v>394030.272</v>
      </c>
      <c r="AA401" s="70" t="e">
        <f>+N401-#REF!</f>
        <v>#REF!</v>
      </c>
      <c r="AD401" s="70" t="e">
        <f>+N401-#REF!</f>
        <v>#REF!</v>
      </c>
      <c r="AP401" s="61">
        <f>+N401-'Приложение №2'!E232</f>
        <v>-2755728.0574262696</v>
      </c>
      <c r="AQ401" s="69">
        <v>1686354.74</v>
      </c>
      <c r="AR401" s="3">
        <f>+(K401*13.29+L401*22.52)*12*0.85</f>
        <v>368473.75559999997</v>
      </c>
      <c r="AS401" s="3">
        <f>+(K401*13.29+L401*22.52)*12*30</f>
        <v>13004956.079999998</v>
      </c>
      <c r="AT401" s="6">
        <f t="shared" si="119"/>
        <v>-11409221.746278267</v>
      </c>
      <c r="AU401" s="6" t="e">
        <f>+P401-#REF!</f>
        <v>#REF!</v>
      </c>
      <c r="AV401" s="6" t="e">
        <f>+Q401-#REF!</f>
        <v>#REF!</v>
      </c>
      <c r="AW401" s="62">
        <f t="shared" si="120"/>
        <v>13240318.7478696</v>
      </c>
      <c r="AX401" s="55">
        <v>8101220.3263461301</v>
      </c>
      <c r="AY401" s="55">
        <v>0</v>
      </c>
      <c r="AZ401" s="55">
        <v>2455002.5149674499</v>
      </c>
      <c r="BA401" s="55">
        <v>1423274.5415996099</v>
      </c>
      <c r="BB401" s="55"/>
      <c r="BC401" s="55"/>
      <c r="BD401" s="55">
        <v>295198.03432807798</v>
      </c>
      <c r="BE401" s="55"/>
      <c r="BF401" s="55"/>
      <c r="BG401" s="55"/>
      <c r="BH401" s="55"/>
      <c r="BI401" s="55"/>
      <c r="BJ401" s="55">
        <v>696095.60690659599</v>
      </c>
      <c r="BK401" s="63"/>
      <c r="BL401" s="64">
        <v>269527.72372173303</v>
      </c>
      <c r="BM401" s="62">
        <f t="shared" si="121"/>
        <v>13240318.7478696</v>
      </c>
      <c r="BN401" s="55">
        <v>8101220.3263461301</v>
      </c>
      <c r="BO401" s="55">
        <v>0</v>
      </c>
      <c r="BP401" s="55">
        <v>2455002.5149674499</v>
      </c>
      <c r="BQ401" s="55">
        <v>1423274.5415996099</v>
      </c>
      <c r="BR401" s="55"/>
      <c r="BS401" s="55"/>
      <c r="BT401" s="55">
        <v>295198.03432807798</v>
      </c>
      <c r="BU401" s="55"/>
      <c r="BV401" s="55"/>
      <c r="BW401" s="55"/>
      <c r="BX401" s="55"/>
      <c r="BY401" s="55"/>
      <c r="BZ401" s="55">
        <v>696095.60690659599</v>
      </c>
      <c r="CA401" s="63"/>
      <c r="CB401" s="64">
        <v>269527.72372173303</v>
      </c>
      <c r="CD401" s="114"/>
      <c r="CE401" s="70"/>
    </row>
    <row r="402" spans="1:84" x14ac:dyDescent="0.25">
      <c r="A402" s="105">
        <f t="shared" si="122"/>
        <v>382</v>
      </c>
      <c r="B402" s="107">
        <f>+B401+1</f>
        <v>191</v>
      </c>
      <c r="C402" s="53" t="s">
        <v>108</v>
      </c>
      <c r="D402" s="53" t="s">
        <v>471</v>
      </c>
      <c r="E402" s="54">
        <v>1979</v>
      </c>
      <c r="F402" s="54">
        <v>2013</v>
      </c>
      <c r="G402" s="54" t="s">
        <v>64</v>
      </c>
      <c r="H402" s="54">
        <v>5</v>
      </c>
      <c r="I402" s="54">
        <v>4</v>
      </c>
      <c r="J402" s="55">
        <v>2793.1</v>
      </c>
      <c r="K402" s="55">
        <v>2468.5</v>
      </c>
      <c r="L402" s="55">
        <v>86.9</v>
      </c>
      <c r="M402" s="56">
        <v>97</v>
      </c>
      <c r="N402" s="112">
        <f t="shared" si="118"/>
        <v>1744209.1597703202</v>
      </c>
      <c r="O402" s="55"/>
      <c r="P402" s="63"/>
      <c r="Q402" s="63"/>
      <c r="R402" s="63">
        <v>1302890.54</v>
      </c>
      <c r="S402" s="63">
        <v>441318.61977032002</v>
      </c>
      <c r="T402" s="63"/>
      <c r="U402" s="55">
        <v>881.08012005948206</v>
      </c>
      <c r="V402" s="55">
        <v>881.08012005948206</v>
      </c>
      <c r="W402" s="59">
        <v>2023</v>
      </c>
      <c r="X402" s="6" t="e">
        <v>#REF!</v>
      </c>
      <c r="Z402" s="62">
        <f t="shared" ref="Z402:Z408" si="125">SUM(AA402:AO402)</f>
        <v>2529788.92</v>
      </c>
      <c r="AA402" s="55">
        <v>0</v>
      </c>
      <c r="AB402" s="55">
        <v>0</v>
      </c>
      <c r="AC402" s="55">
        <v>2203329.77902968</v>
      </c>
      <c r="AD402" s="55">
        <v>0</v>
      </c>
      <c r="AE402" s="55">
        <v>0</v>
      </c>
      <c r="AF402" s="55"/>
      <c r="AG402" s="55">
        <v>0</v>
      </c>
      <c r="AH402" s="55">
        <v>0</v>
      </c>
      <c r="AI402" s="55">
        <v>0</v>
      </c>
      <c r="AJ402" s="55">
        <v>0</v>
      </c>
      <c r="AK402" s="55">
        <v>0</v>
      </c>
      <c r="AL402" s="55">
        <v>0</v>
      </c>
      <c r="AM402" s="55">
        <v>252978.89199999999</v>
      </c>
      <c r="AN402" s="63">
        <v>25297.889200000001</v>
      </c>
      <c r="AO402" s="64">
        <v>48182.359770319999</v>
      </c>
      <c r="AP402" s="61">
        <f>+N402-'Приложение №2'!E402</f>
        <v>0</v>
      </c>
      <c r="AQ402" s="1">
        <v>1033375.94</v>
      </c>
      <c r="AR402" s="3">
        <f>+(K402*10+L402*20)*12*0.85</f>
        <v>269514.59999999998</v>
      </c>
      <c r="AS402" s="3">
        <f>+(K402*10+L402*20)*12*30</f>
        <v>9512280</v>
      </c>
      <c r="AT402" s="6">
        <f t="shared" si="119"/>
        <v>-9070961.3802296799</v>
      </c>
      <c r="AU402" s="6" t="e">
        <v>#REF!</v>
      </c>
      <c r="AV402" s="6" t="e">
        <v>#REF!</v>
      </c>
      <c r="AW402" s="62">
        <f t="shared" si="120"/>
        <v>2251512.1387999998</v>
      </c>
      <c r="AX402" s="55">
        <v>0</v>
      </c>
      <c r="AY402" s="55">
        <v>0</v>
      </c>
      <c r="AZ402" s="55">
        <v>2203329.77902968</v>
      </c>
      <c r="BA402" s="55">
        <v>0</v>
      </c>
      <c r="BB402" s="55">
        <v>0</v>
      </c>
      <c r="BC402" s="55"/>
      <c r="BD402" s="55"/>
      <c r="BE402" s="55">
        <v>0</v>
      </c>
      <c r="BF402" s="55">
        <v>0</v>
      </c>
      <c r="BG402" s="55">
        <v>0</v>
      </c>
      <c r="BH402" s="55">
        <v>0</v>
      </c>
      <c r="BI402" s="55">
        <v>0</v>
      </c>
      <c r="BJ402" s="55"/>
      <c r="BK402" s="63"/>
      <c r="BL402" s="111">
        <v>48182.359770319999</v>
      </c>
      <c r="BM402" s="62">
        <f t="shared" si="121"/>
        <v>2251512.1387999998</v>
      </c>
      <c r="BN402" s="55">
        <v>0</v>
      </c>
      <c r="BO402" s="55">
        <v>0</v>
      </c>
      <c r="BP402" s="55">
        <v>2203329.77902968</v>
      </c>
      <c r="BQ402" s="55">
        <v>0</v>
      </c>
      <c r="BR402" s="55">
        <v>0</v>
      </c>
      <c r="BS402" s="55"/>
      <c r="BT402" s="55"/>
      <c r="BU402" s="55">
        <v>0</v>
      </c>
      <c r="BV402" s="55">
        <v>0</v>
      </c>
      <c r="BW402" s="55">
        <v>0</v>
      </c>
      <c r="BX402" s="55">
        <v>0</v>
      </c>
      <c r="BY402" s="55">
        <v>0</v>
      </c>
      <c r="BZ402" s="55"/>
      <c r="CA402" s="63"/>
      <c r="CB402" s="64">
        <v>48182.359770319999</v>
      </c>
      <c r="CD402" s="6"/>
    </row>
    <row r="403" spans="1:84" x14ac:dyDescent="0.25">
      <c r="A403" s="105">
        <f t="shared" si="122"/>
        <v>383</v>
      </c>
      <c r="B403" s="107">
        <f>+B402+1</f>
        <v>192</v>
      </c>
      <c r="C403" s="53" t="s">
        <v>108</v>
      </c>
      <c r="D403" s="53" t="s">
        <v>114</v>
      </c>
      <c r="E403" s="54">
        <v>1986</v>
      </c>
      <c r="F403" s="54">
        <v>2013</v>
      </c>
      <c r="G403" s="54" t="s">
        <v>64</v>
      </c>
      <c r="H403" s="54">
        <v>4</v>
      </c>
      <c r="I403" s="54">
        <v>2</v>
      </c>
      <c r="J403" s="55">
        <v>3830.7</v>
      </c>
      <c r="K403" s="55">
        <v>3476.2</v>
      </c>
      <c r="L403" s="55">
        <v>0</v>
      </c>
      <c r="M403" s="56">
        <v>146</v>
      </c>
      <c r="N403" s="112">
        <f t="shared" si="118"/>
        <v>5792816.6328999996</v>
      </c>
      <c r="O403" s="55"/>
      <c r="P403" s="63">
        <v>2857212.57</v>
      </c>
      <c r="Q403" s="63"/>
      <c r="R403" s="63">
        <v>121962.54</v>
      </c>
      <c r="S403" s="63">
        <v>2813641.5229000002</v>
      </c>
      <c r="T403" s="55"/>
      <c r="U403" s="63">
        <v>1833.87856826966</v>
      </c>
      <c r="V403" s="63">
        <v>1833.87856826966</v>
      </c>
      <c r="W403" s="59">
        <v>2023</v>
      </c>
      <c r="X403" s="6" t="e">
        <v>#REF!</v>
      </c>
      <c r="Z403" s="62">
        <f t="shared" si="125"/>
        <v>63545858.420000024</v>
      </c>
      <c r="AA403" s="55">
        <v>5818965.56459946</v>
      </c>
      <c r="AB403" s="55">
        <v>3365266.8627295201</v>
      </c>
      <c r="AC403" s="55">
        <v>3557336.2493503802</v>
      </c>
      <c r="AD403" s="55">
        <v>2712499.1287925998</v>
      </c>
      <c r="AE403" s="55">
        <v>1083587.87912004</v>
      </c>
      <c r="AF403" s="55"/>
      <c r="AG403" s="55">
        <v>289142.86613099999</v>
      </c>
      <c r="AH403" s="55">
        <v>0</v>
      </c>
      <c r="AI403" s="55">
        <v>10358644.6581282</v>
      </c>
      <c r="AJ403" s="55">
        <v>0</v>
      </c>
      <c r="AK403" s="55">
        <v>20111367.361018099</v>
      </c>
      <c r="AL403" s="55">
        <v>7909542.8401185004</v>
      </c>
      <c r="AM403" s="55">
        <v>6496795.2884999998</v>
      </c>
      <c r="AN403" s="63">
        <v>635458.58420000004</v>
      </c>
      <c r="AO403" s="64">
        <v>1207251.1373122199</v>
      </c>
      <c r="AP403" s="61">
        <f>+N403-'Приложение №2'!E403</f>
        <v>-2.9000453650951385E-5</v>
      </c>
      <c r="AQ403" s="6">
        <f>1393126.98-102965.87-R60</f>
        <v>-448445.6100000001</v>
      </c>
      <c r="AR403" s="3">
        <f>+(K403*10+L403*20)*12*0.85</f>
        <v>354572.39999999997</v>
      </c>
      <c r="AS403" s="3">
        <f>+(K403*10+L403*20)*12*30-S60</f>
        <v>-858925.48000000045</v>
      </c>
      <c r="AT403" s="6">
        <f t="shared" si="119"/>
        <v>3672567.0029000007</v>
      </c>
      <c r="AU403" s="6" t="e">
        <v>#REF!</v>
      </c>
      <c r="AV403" s="6" t="e">
        <v>#REF!</v>
      </c>
      <c r="AW403" s="62">
        <f t="shared" si="120"/>
        <v>6374928.6790189994</v>
      </c>
      <c r="AY403" s="55">
        <v>3744858.18609</v>
      </c>
      <c r="AZ403" s="55"/>
      <c r="BA403" s="55"/>
      <c r="BB403" s="55"/>
      <c r="BC403" s="55"/>
      <c r="BD403" s="55">
        <v>1311406.8</v>
      </c>
      <c r="BE403" s="55">
        <v>0</v>
      </c>
      <c r="BF403" s="55"/>
      <c r="BG403" s="55"/>
      <c r="BH403" s="55"/>
      <c r="BI403" s="55"/>
      <c r="BJ403" s="55"/>
      <c r="BK403" s="63"/>
      <c r="BL403" s="111">
        <v>1318663.6929289999</v>
      </c>
      <c r="BM403" s="62">
        <f t="shared" si="121"/>
        <v>6374928.6790189994</v>
      </c>
      <c r="BO403" s="55">
        <v>3744858.18609</v>
      </c>
      <c r="BP403" s="55"/>
      <c r="BQ403" s="55"/>
      <c r="BR403" s="55"/>
      <c r="BS403" s="55"/>
      <c r="BT403" s="55">
        <v>1311406.8</v>
      </c>
      <c r="BU403" s="55">
        <v>0</v>
      </c>
      <c r="BV403" s="55"/>
      <c r="BW403" s="55"/>
      <c r="BX403" s="55"/>
      <c r="BY403" s="55"/>
      <c r="BZ403" s="55"/>
      <c r="CA403" s="63"/>
      <c r="CB403" s="64">
        <v>1318663.6929289999</v>
      </c>
      <c r="CD403" s="6"/>
    </row>
    <row r="404" spans="1:84" x14ac:dyDescent="0.25">
      <c r="A404" s="105">
        <f t="shared" si="122"/>
        <v>384</v>
      </c>
      <c r="B404" s="107">
        <f>+B403+1</f>
        <v>193</v>
      </c>
      <c r="C404" s="53" t="s">
        <v>108</v>
      </c>
      <c r="D404" s="53" t="s">
        <v>111</v>
      </c>
      <c r="E404" s="54">
        <v>1995</v>
      </c>
      <c r="F404" s="54">
        <v>2013</v>
      </c>
      <c r="G404" s="54" t="s">
        <v>64</v>
      </c>
      <c r="H404" s="54">
        <v>5</v>
      </c>
      <c r="I404" s="54">
        <v>4</v>
      </c>
      <c r="J404" s="55">
        <v>4929.5</v>
      </c>
      <c r="K404" s="55">
        <v>4328.8999999999996</v>
      </c>
      <c r="L404" s="55">
        <v>0</v>
      </c>
      <c r="M404" s="56">
        <v>159</v>
      </c>
      <c r="N404" s="112">
        <f t="shared" si="118"/>
        <v>2553932.5821301797</v>
      </c>
      <c r="O404" s="55"/>
      <c r="P404" s="63"/>
      <c r="Q404" s="63"/>
      <c r="R404" s="63">
        <v>1488007.09</v>
      </c>
      <c r="S404" s="63">
        <v>1065925.4921301799</v>
      </c>
      <c r="T404" s="63"/>
      <c r="U404" s="55">
        <v>1045.55475263924</v>
      </c>
      <c r="V404" s="55">
        <v>1045.55475263924</v>
      </c>
      <c r="W404" s="59">
        <v>2023</v>
      </c>
      <c r="X404" s="6" t="e">
        <v>#REF!</v>
      </c>
      <c r="Z404" s="62">
        <f t="shared" si="125"/>
        <v>77122932.979999959</v>
      </c>
      <c r="AA404" s="55">
        <v>7245200.61515796</v>
      </c>
      <c r="AB404" s="55">
        <v>4190097.5862702602</v>
      </c>
      <c r="AC404" s="55">
        <v>4429243.3865698203</v>
      </c>
      <c r="AD404" s="55">
        <v>3377335.7392437598</v>
      </c>
      <c r="AE404" s="55">
        <v>0</v>
      </c>
      <c r="AF404" s="55"/>
      <c r="AG404" s="55">
        <v>360012.11029560002</v>
      </c>
      <c r="AH404" s="55">
        <v>0</v>
      </c>
      <c r="AI404" s="55">
        <v>12897560.1974562</v>
      </c>
      <c r="AJ404" s="55">
        <v>0</v>
      </c>
      <c r="AK404" s="55">
        <v>25040686.283834301</v>
      </c>
      <c r="AL404" s="55">
        <v>9848180.7538505998</v>
      </c>
      <c r="AM404" s="55">
        <v>7489740.9763000002</v>
      </c>
      <c r="AN404" s="63">
        <v>771229.32979999995</v>
      </c>
      <c r="AO404" s="64">
        <v>1473646.0012214601</v>
      </c>
      <c r="AP404" s="61">
        <f>+N404-'Приложение №2'!E404</f>
        <v>0</v>
      </c>
      <c r="AQ404" s="6">
        <f>1948762.98-R57</f>
        <v>1046459.29</v>
      </c>
      <c r="AR404" s="3">
        <f>+(K404*10+L404*20)*12*0.85</f>
        <v>441547.8</v>
      </c>
      <c r="AS404" s="3">
        <f>+(K404*10+L404*20)*12*30-S57</f>
        <v>8602058.2485373989</v>
      </c>
      <c r="AT404" s="6">
        <f t="shared" si="119"/>
        <v>-7536132.756407219</v>
      </c>
      <c r="AU404" s="6" t="e">
        <v>#REF!</v>
      </c>
      <c r="AV404" s="6" t="e">
        <v>#REF!</v>
      </c>
      <c r="AW404" s="62">
        <f t="shared" si="120"/>
        <v>4526101.9687000001</v>
      </c>
      <c r="AX404" s="55"/>
      <c r="AY404" s="55"/>
      <c r="AZ404" s="55">
        <v>4429243.3865698203</v>
      </c>
      <c r="BA404" s="55"/>
      <c r="BB404" s="55"/>
      <c r="BC404" s="55"/>
      <c r="BD404" s="55"/>
      <c r="BE404" s="55"/>
      <c r="BF404" s="55"/>
      <c r="BG404" s="55"/>
      <c r="BH404" s="55"/>
      <c r="BI404" s="55"/>
      <c r="BJ404" s="55"/>
      <c r="BK404" s="63"/>
      <c r="BL404" s="111">
        <v>96858.582130180002</v>
      </c>
      <c r="BM404" s="62">
        <f t="shared" si="121"/>
        <v>4526101.9687000001</v>
      </c>
      <c r="BN404" s="55"/>
      <c r="BO404" s="55"/>
      <c r="BP404" s="55">
        <v>4429243.3865698203</v>
      </c>
      <c r="BQ404" s="55"/>
      <c r="BR404" s="55"/>
      <c r="BS404" s="55"/>
      <c r="BT404" s="55"/>
      <c r="BU404" s="55"/>
      <c r="BV404" s="55"/>
      <c r="BW404" s="55"/>
      <c r="BX404" s="55"/>
      <c r="BY404" s="55"/>
      <c r="BZ404" s="55"/>
      <c r="CA404" s="63"/>
      <c r="CB404" s="64">
        <v>96858.582130180002</v>
      </c>
      <c r="CD404" s="6"/>
    </row>
    <row r="405" spans="1:84" x14ac:dyDescent="0.25">
      <c r="A405" s="105">
        <f t="shared" si="122"/>
        <v>385</v>
      </c>
      <c r="B405" s="107" t="s">
        <v>455</v>
      </c>
      <c r="C405" s="53" t="s">
        <v>108</v>
      </c>
      <c r="D405" s="53" t="s">
        <v>327</v>
      </c>
      <c r="E405" s="54">
        <v>1964</v>
      </c>
      <c r="F405" s="54">
        <v>2013</v>
      </c>
      <c r="G405" s="54" t="s">
        <v>64</v>
      </c>
      <c r="H405" s="54">
        <v>5</v>
      </c>
      <c r="I405" s="54">
        <v>7</v>
      </c>
      <c r="J405" s="55">
        <v>6384.4</v>
      </c>
      <c r="K405" s="55">
        <v>5253.8</v>
      </c>
      <c r="L405" s="55">
        <v>1130.5999999999999</v>
      </c>
      <c r="M405" s="56">
        <v>210</v>
      </c>
      <c r="N405" s="112">
        <f t="shared" si="118"/>
        <v>8333177.4176637996</v>
      </c>
      <c r="O405" s="55"/>
      <c r="P405" s="63"/>
      <c r="Q405" s="63"/>
      <c r="R405" s="63">
        <v>1316115.21</v>
      </c>
      <c r="S405" s="63">
        <v>7017062.2076637996</v>
      </c>
      <c r="T405" s="63"/>
      <c r="U405" s="63">
        <v>2836.9035269001101</v>
      </c>
      <c r="V405" s="63">
        <v>1258.2830200640001</v>
      </c>
      <c r="W405" s="59">
        <v>2023</v>
      </c>
      <c r="X405" s="6" t="e">
        <v>#REF!</v>
      </c>
      <c r="Z405" s="62">
        <f t="shared" si="125"/>
        <v>31039639.368981637</v>
      </c>
      <c r="AA405" s="55">
        <v>13616559.511674</v>
      </c>
      <c r="AB405" s="55">
        <v>4892953.0885143401</v>
      </c>
      <c r="AC405" s="55">
        <v>5159278.85636512</v>
      </c>
      <c r="AD405" s="55">
        <v>3303637.3136041798</v>
      </c>
      <c r="AE405" s="55">
        <v>2454070.4593859999</v>
      </c>
      <c r="AF405" s="55"/>
      <c r="AG405" s="55">
        <v>488558.85729000001</v>
      </c>
      <c r="AH405" s="55">
        <v>0</v>
      </c>
      <c r="AI405" s="55">
        <v>0</v>
      </c>
      <c r="AJ405" s="55">
        <v>0</v>
      </c>
      <c r="AK405" s="55">
        <v>0</v>
      </c>
      <c r="AL405" s="55">
        <v>0</v>
      </c>
      <c r="AM405" s="55">
        <v>425297.73</v>
      </c>
      <c r="AN405" s="55">
        <v>45101.82</v>
      </c>
      <c r="AO405" s="64">
        <v>654181.73214800004</v>
      </c>
      <c r="AP405" s="61" t="e">
        <f>+N405-#REF!</f>
        <v>#REF!</v>
      </c>
      <c r="AQ405" s="65">
        <f>4163182.7-R241</f>
        <v>2294759.7600000002</v>
      </c>
      <c r="AR405" s="3">
        <f>+(K405*10.5+L405*21)*12*0.85</f>
        <v>804856.5</v>
      </c>
      <c r="AS405" s="3">
        <f>+(K405*10.5+L405*21)*12*30-S241</f>
        <v>13341091.4123362</v>
      </c>
      <c r="AT405" s="6">
        <f t="shared" si="119"/>
        <v>-6324029.2046724008</v>
      </c>
      <c r="AU405" s="6" t="e">
        <v>#REF!</v>
      </c>
      <c r="AV405" s="6" t="e">
        <v>#REF!</v>
      </c>
      <c r="AW405" s="110">
        <f t="shared" si="120"/>
        <v>14904523.749627799</v>
      </c>
      <c r="AX405" s="55">
        <v>13616559.511674</v>
      </c>
      <c r="AY405" s="55"/>
      <c r="AZ405" s="55"/>
      <c r="BA405" s="55"/>
      <c r="BB405" s="55"/>
      <c r="BC405" s="55"/>
      <c r="BD405" s="55">
        <v>488558.85729000001</v>
      </c>
      <c r="BE405" s="55">
        <v>0</v>
      </c>
      <c r="BF405" s="55"/>
      <c r="BG405" s="55">
        <v>0</v>
      </c>
      <c r="BH405" s="55">
        <v>0</v>
      </c>
      <c r="BI405" s="55">
        <v>0</v>
      </c>
      <c r="BJ405" s="55">
        <v>596430.70649999997</v>
      </c>
      <c r="BK405" s="55">
        <v>24992.426500000001</v>
      </c>
      <c r="BL405" s="64">
        <v>177982.24766379999</v>
      </c>
      <c r="BM405" s="110">
        <f t="shared" si="121"/>
        <v>14904523.749627799</v>
      </c>
      <c r="BN405" s="55">
        <v>13616559.511674</v>
      </c>
      <c r="BO405" s="55"/>
      <c r="BP405" s="55"/>
      <c r="BQ405" s="55"/>
      <c r="BR405" s="55"/>
      <c r="BS405" s="55"/>
      <c r="BT405" s="55">
        <v>488558.85729000001</v>
      </c>
      <c r="BU405" s="55">
        <v>0</v>
      </c>
      <c r="BV405" s="55"/>
      <c r="BW405" s="55">
        <v>0</v>
      </c>
      <c r="BX405" s="55">
        <v>0</v>
      </c>
      <c r="BY405" s="55">
        <v>0</v>
      </c>
      <c r="BZ405" s="55">
        <v>596430.70649999997</v>
      </c>
      <c r="CA405" s="55">
        <v>24992.426500000001</v>
      </c>
      <c r="CB405" s="64">
        <v>177982.24766379999</v>
      </c>
      <c r="CD405" s="3"/>
      <c r="CE405" s="3"/>
    </row>
    <row r="406" spans="1:84" x14ac:dyDescent="0.25">
      <c r="A406" s="105">
        <f t="shared" si="122"/>
        <v>386</v>
      </c>
      <c r="B406" s="107">
        <v>194</v>
      </c>
      <c r="C406" s="53" t="s">
        <v>108</v>
      </c>
      <c r="D406" s="53" t="s">
        <v>127</v>
      </c>
      <c r="E406" s="54">
        <v>1965</v>
      </c>
      <c r="F406" s="54">
        <v>2005</v>
      </c>
      <c r="G406" s="54" t="s">
        <v>64</v>
      </c>
      <c r="H406" s="54">
        <v>4</v>
      </c>
      <c r="I406" s="54">
        <v>2</v>
      </c>
      <c r="J406" s="55">
        <v>1948.5</v>
      </c>
      <c r="K406" s="55">
        <v>1410</v>
      </c>
      <c r="L406" s="55">
        <v>537.70000000000005</v>
      </c>
      <c r="M406" s="56">
        <v>38</v>
      </c>
      <c r="N406" s="112">
        <f t="shared" si="118"/>
        <v>2957363.0971758133</v>
      </c>
      <c r="O406" s="55"/>
      <c r="P406" s="63">
        <v>2075421.35</v>
      </c>
      <c r="Q406" s="63"/>
      <c r="R406" s="63"/>
      <c r="S406" s="63">
        <v>881941.74717581295</v>
      </c>
      <c r="T406" s="63"/>
      <c r="U406" s="55">
        <v>1684.5230719185799</v>
      </c>
      <c r="V406" s="55">
        <v>1684.5230719185799</v>
      </c>
      <c r="W406" s="59">
        <v>2023</v>
      </c>
      <c r="X406" s="6" t="e">
        <v>#REF!</v>
      </c>
      <c r="Z406" s="62">
        <f t="shared" si="125"/>
        <v>10380935.740000002</v>
      </c>
      <c r="AA406" s="55">
        <v>4172919.5503249802</v>
      </c>
      <c r="AB406" s="55">
        <v>1486982.7864103799</v>
      </c>
      <c r="AC406" s="55">
        <v>1553566.1571465</v>
      </c>
      <c r="AD406" s="55">
        <v>972630.63727284002</v>
      </c>
      <c r="AE406" s="55">
        <v>595090.92894678004</v>
      </c>
      <c r="AF406" s="55"/>
      <c r="AG406" s="55">
        <v>160126.34455524001</v>
      </c>
      <c r="AH406" s="55">
        <v>0</v>
      </c>
      <c r="AI406" s="55">
        <v>0</v>
      </c>
      <c r="AJ406" s="55">
        <v>0</v>
      </c>
      <c r="AK406" s="55">
        <v>0</v>
      </c>
      <c r="AL406" s="55">
        <v>0</v>
      </c>
      <c r="AM406" s="55">
        <v>1140281.4974</v>
      </c>
      <c r="AN406" s="63">
        <v>103809.35739999999</v>
      </c>
      <c r="AO406" s="64">
        <v>195528.48054327999</v>
      </c>
      <c r="AP406" s="61">
        <f>+N406-'Приложение №2'!E406</f>
        <v>0</v>
      </c>
      <c r="AQ406" s="6">
        <f>945052.78-R70</f>
        <v>160550.45585124008</v>
      </c>
      <c r="AR406" s="3">
        <f>+(K406*10+L406*20)*12*0.85</f>
        <v>253510.8</v>
      </c>
      <c r="AS406" s="3">
        <f>+(K406*10+L406*20)*12*30-S70</f>
        <v>8947440</v>
      </c>
      <c r="AT406" s="6">
        <f t="shared" si="119"/>
        <v>-8065498.2528241873</v>
      </c>
      <c r="AU406" s="6" t="e">
        <v>#REF!</v>
      </c>
      <c r="AV406" s="6" t="e">
        <v>#REF!</v>
      </c>
      <c r="AW406" s="62">
        <f t="shared" si="120"/>
        <v>3280945.587175813</v>
      </c>
      <c r="AX406" s="55">
        <v>3199919.31</v>
      </c>
      <c r="AY406" s="55"/>
      <c r="AZ406" s="55"/>
      <c r="BA406" s="55"/>
      <c r="BB406" s="55"/>
      <c r="BC406" s="55"/>
      <c r="BD406" s="55"/>
      <c r="BE406" s="55"/>
      <c r="BF406" s="55"/>
      <c r="BG406" s="55">
        <v>0</v>
      </c>
      <c r="BH406" s="55">
        <v>0</v>
      </c>
      <c r="BI406" s="55">
        <v>0</v>
      </c>
      <c r="BJ406" s="55"/>
      <c r="BK406" s="63"/>
      <c r="BL406" s="111">
        <v>81026.2771758132</v>
      </c>
      <c r="BM406" s="62">
        <f t="shared" si="121"/>
        <v>3280945.587175813</v>
      </c>
      <c r="BN406" s="55">
        <v>3199919.31</v>
      </c>
      <c r="BO406" s="55"/>
      <c r="BP406" s="55"/>
      <c r="BQ406" s="55"/>
      <c r="BR406" s="55"/>
      <c r="BS406" s="55"/>
      <c r="BT406" s="55"/>
      <c r="BU406" s="55"/>
      <c r="BV406" s="55"/>
      <c r="BW406" s="55">
        <v>0</v>
      </c>
      <c r="BX406" s="55">
        <v>0</v>
      </c>
      <c r="BY406" s="55">
        <v>0</v>
      </c>
      <c r="BZ406" s="55"/>
      <c r="CA406" s="63"/>
      <c r="CB406" s="64">
        <v>81026.2771758132</v>
      </c>
      <c r="CD406" s="3"/>
      <c r="CE406" s="6"/>
    </row>
    <row r="407" spans="1:84" x14ac:dyDescent="0.25">
      <c r="A407" s="105">
        <f t="shared" si="122"/>
        <v>387</v>
      </c>
      <c r="B407" s="107">
        <v>195</v>
      </c>
      <c r="C407" s="53" t="s">
        <v>108</v>
      </c>
      <c r="D407" s="53" t="s">
        <v>472</v>
      </c>
      <c r="E407" s="54">
        <v>1973</v>
      </c>
      <c r="F407" s="54">
        <v>2017</v>
      </c>
      <c r="G407" s="54" t="s">
        <v>64</v>
      </c>
      <c r="H407" s="54">
        <v>5</v>
      </c>
      <c r="I407" s="54">
        <v>2</v>
      </c>
      <c r="J407" s="55">
        <v>2354.6</v>
      </c>
      <c r="K407" s="55">
        <v>2141.8000000000002</v>
      </c>
      <c r="L407" s="55">
        <v>0</v>
      </c>
      <c r="M407" s="56">
        <v>96</v>
      </c>
      <c r="N407" s="112">
        <f t="shared" si="118"/>
        <v>7704713.2688525207</v>
      </c>
      <c r="O407" s="55"/>
      <c r="P407" s="63">
        <v>2812203.54</v>
      </c>
      <c r="Q407" s="63"/>
      <c r="R407" s="63">
        <v>1112787.02</v>
      </c>
      <c r="S407" s="63">
        <v>3779722.7088525202</v>
      </c>
      <c r="T407" s="63"/>
      <c r="U407" s="63">
        <v>2419.6525627287901</v>
      </c>
      <c r="V407" s="63">
        <v>1263.2830200640001</v>
      </c>
      <c r="W407" s="59">
        <v>2023</v>
      </c>
      <c r="X407" s="6" t="e">
        <v>#REF!</v>
      </c>
      <c r="Z407" s="62">
        <f t="shared" si="125"/>
        <v>5617414.6200000001</v>
      </c>
      <c r="AA407" s="55">
        <v>0</v>
      </c>
      <c r="AB407" s="55">
        <v>0</v>
      </c>
      <c r="AC407" s="55">
        <v>0</v>
      </c>
      <c r="AD407" s="55">
        <v>0</v>
      </c>
      <c r="AE407" s="55">
        <v>0</v>
      </c>
      <c r="AF407" s="55"/>
      <c r="AG407" s="55">
        <v>0</v>
      </c>
      <c r="AH407" s="55">
        <v>0</v>
      </c>
      <c r="AI407" s="55">
        <v>0</v>
      </c>
      <c r="AJ407" s="55">
        <v>0</v>
      </c>
      <c r="AK407" s="55">
        <v>4892509.7329474799</v>
      </c>
      <c r="AL407" s="55">
        <v>0</v>
      </c>
      <c r="AM407" s="55">
        <v>561741.46200000006</v>
      </c>
      <c r="AN407" s="63">
        <v>56174.146200000003</v>
      </c>
      <c r="AO407" s="64">
        <v>106989.27885252</v>
      </c>
      <c r="AP407" s="61">
        <f>+N407-'Приложение №2'!E407</f>
        <v>0</v>
      </c>
      <c r="AQ407" s="65">
        <v>1148972.82</v>
      </c>
      <c r="AR407" s="3">
        <f>+(K407*10.5+L407*21)*12*0.85</f>
        <v>229386.78000000003</v>
      </c>
      <c r="AS407" s="3">
        <f>+(K407*10.5+L407*21)*12*30</f>
        <v>8096004.0000000019</v>
      </c>
      <c r="AT407" s="6">
        <f t="shared" si="119"/>
        <v>-4316281.2911474817</v>
      </c>
      <c r="AU407" s="6" t="e">
        <v>#REF!</v>
      </c>
      <c r="AV407" s="6" t="e">
        <v>#REF!</v>
      </c>
      <c r="AW407" s="110">
        <f t="shared" si="120"/>
        <v>5182411.8588525197</v>
      </c>
      <c r="AX407" s="55">
        <v>0</v>
      </c>
      <c r="AY407" s="55">
        <v>0</v>
      </c>
      <c r="AZ407" s="55">
        <v>0</v>
      </c>
      <c r="BA407" s="55">
        <v>0</v>
      </c>
      <c r="BB407" s="55">
        <v>0</v>
      </c>
      <c r="BC407" s="55"/>
      <c r="BD407" s="55"/>
      <c r="BE407" s="55">
        <v>0</v>
      </c>
      <c r="BF407" s="55">
        <v>0</v>
      </c>
      <c r="BG407" s="55">
        <v>0</v>
      </c>
      <c r="BH407" s="55">
        <v>5075422.58</v>
      </c>
      <c r="BI407" s="55">
        <v>0</v>
      </c>
      <c r="BJ407" s="55"/>
      <c r="BK407" s="63"/>
      <c r="BL407" s="64">
        <v>106989.27885252</v>
      </c>
      <c r="BM407" s="110">
        <f t="shared" si="121"/>
        <v>5182411.8588525197</v>
      </c>
      <c r="BN407" s="55">
        <v>0</v>
      </c>
      <c r="BO407" s="55">
        <v>0</v>
      </c>
      <c r="BP407" s="55">
        <v>0</v>
      </c>
      <c r="BQ407" s="55">
        <v>0</v>
      </c>
      <c r="BR407" s="55">
        <v>0</v>
      </c>
      <c r="BS407" s="55"/>
      <c r="BT407" s="55"/>
      <c r="BU407" s="55">
        <v>0</v>
      </c>
      <c r="BV407" s="55">
        <v>0</v>
      </c>
      <c r="BW407" s="55">
        <v>0</v>
      </c>
      <c r="BX407" s="55">
        <v>5075422.58</v>
      </c>
      <c r="BY407" s="55">
        <v>0</v>
      </c>
      <c r="BZ407" s="55"/>
      <c r="CA407" s="63"/>
      <c r="CB407" s="64">
        <v>106989.27885252</v>
      </c>
      <c r="CD407" s="3"/>
      <c r="CE407" s="3"/>
    </row>
    <row r="408" spans="1:84" x14ac:dyDescent="0.25">
      <c r="A408" s="105">
        <f t="shared" si="122"/>
        <v>388</v>
      </c>
      <c r="B408" s="107">
        <f>+B407+1</f>
        <v>196</v>
      </c>
      <c r="C408" s="107" t="s">
        <v>108</v>
      </c>
      <c r="D408" s="107" t="s">
        <v>473</v>
      </c>
      <c r="E408" s="128">
        <v>1972</v>
      </c>
      <c r="F408" s="128">
        <v>2013</v>
      </c>
      <c r="G408" s="128" t="s">
        <v>64</v>
      </c>
      <c r="H408" s="128">
        <v>5</v>
      </c>
      <c r="I408" s="128">
        <v>2</v>
      </c>
      <c r="J408" s="63">
        <v>3331.95</v>
      </c>
      <c r="K408" s="63">
        <v>2549.4499999999998</v>
      </c>
      <c r="L408" s="63">
        <v>780.8</v>
      </c>
      <c r="M408" s="129">
        <v>190</v>
      </c>
      <c r="N408" s="108">
        <f t="shared" si="118"/>
        <v>2377798.0801734999</v>
      </c>
      <c r="O408" s="63"/>
      <c r="P408" s="63">
        <v>65202.28</v>
      </c>
      <c r="Q408" s="63"/>
      <c r="R408" s="63">
        <v>2221077.79</v>
      </c>
      <c r="S408" s="63">
        <v>91518.010173500094</v>
      </c>
      <c r="T408" s="63"/>
      <c r="U408" s="63">
        <v>1277.0381612400699</v>
      </c>
      <c r="V408" s="63">
        <v>1264.2830200640001</v>
      </c>
      <c r="W408" s="59">
        <v>2023</v>
      </c>
      <c r="X408" s="6" t="e">
        <v>#REF!</v>
      </c>
      <c r="Z408" s="62">
        <f t="shared" si="125"/>
        <v>34440876.640000001</v>
      </c>
      <c r="AA408" s="55">
        <v>0</v>
      </c>
      <c r="AB408" s="55">
        <v>2166113.1307510799</v>
      </c>
      <c r="AC408" s="55">
        <v>2263106.2523265001</v>
      </c>
      <c r="AD408" s="55">
        <v>1416847.6029254401</v>
      </c>
      <c r="AE408" s="55">
        <v>866879.08268850006</v>
      </c>
      <c r="AF408" s="55"/>
      <c r="AG408" s="55">
        <v>0</v>
      </c>
      <c r="AH408" s="55">
        <v>0</v>
      </c>
      <c r="AI408" s="55">
        <v>11112903.524356199</v>
      </c>
      <c r="AJ408" s="55">
        <v>0</v>
      </c>
      <c r="AK408" s="55">
        <v>5769870.9583057202</v>
      </c>
      <c r="AL408" s="55">
        <v>6223481.21187618</v>
      </c>
      <c r="AM408" s="55">
        <v>3625180.5619000001</v>
      </c>
      <c r="AN408" s="63">
        <v>344408.76640000002</v>
      </c>
      <c r="AO408" s="64">
        <v>652085.54847038002</v>
      </c>
      <c r="AP408" s="61">
        <f>+N408-'Приложение №2'!E408</f>
        <v>0</v>
      </c>
      <c r="AQ408" s="65">
        <v>2364830.67</v>
      </c>
      <c r="AR408" s="3">
        <f>+(K408*10.5+L408*21)*12*0.85</f>
        <v>440293.45499999996</v>
      </c>
      <c r="AS408" s="3">
        <f>+(K408*10.5+L408*21)*12*30</f>
        <v>15539768.999999998</v>
      </c>
      <c r="AT408" s="6">
        <f t="shared" si="119"/>
        <v>-15448250.989826499</v>
      </c>
      <c r="AU408" s="6" t="e">
        <v>#REF!</v>
      </c>
      <c r="AV408" s="6" t="e">
        <v>#REF!</v>
      </c>
      <c r="AW408" s="110">
        <f t="shared" si="120"/>
        <v>3255744.9401735002</v>
      </c>
      <c r="AX408" s="55">
        <v>0</v>
      </c>
      <c r="AY408" s="55"/>
      <c r="AZ408" s="55">
        <v>3206255.39</v>
      </c>
      <c r="BA408" s="55"/>
      <c r="BB408" s="55"/>
      <c r="BC408" s="55"/>
      <c r="BD408" s="55"/>
      <c r="BE408" s="55"/>
      <c r="BF408" s="55"/>
      <c r="BG408" s="55"/>
      <c r="BH408" s="55"/>
      <c r="BI408" s="55"/>
      <c r="BJ408" s="55"/>
      <c r="BK408" s="63"/>
      <c r="BL408" s="111">
        <v>49489.5501735</v>
      </c>
      <c r="BM408" s="110">
        <f t="shared" si="121"/>
        <v>3255744.9401735002</v>
      </c>
      <c r="BN408" s="55">
        <v>0</v>
      </c>
      <c r="BO408" s="55"/>
      <c r="BP408" s="55">
        <v>3206255.39</v>
      </c>
      <c r="BQ408" s="55"/>
      <c r="BR408" s="55"/>
      <c r="BS408" s="55"/>
      <c r="BT408" s="55"/>
      <c r="BU408" s="55"/>
      <c r="BV408" s="55"/>
      <c r="BW408" s="55"/>
      <c r="BX408" s="55"/>
      <c r="BY408" s="55"/>
      <c r="BZ408" s="55"/>
      <c r="CA408" s="63"/>
      <c r="CB408" s="64">
        <v>49489.5501735</v>
      </c>
      <c r="CD408" s="3"/>
      <c r="CE408" s="6"/>
    </row>
    <row r="409" spans="1:84" s="69" customFormat="1" x14ac:dyDescent="0.25">
      <c r="A409" s="105">
        <f t="shared" si="122"/>
        <v>389</v>
      </c>
      <c r="B409" s="107" t="s">
        <v>455</v>
      </c>
      <c r="C409" s="107" t="s">
        <v>108</v>
      </c>
      <c r="D409" s="107" t="s">
        <v>337</v>
      </c>
      <c r="E409" s="54" t="s">
        <v>338</v>
      </c>
      <c r="F409" s="54"/>
      <c r="G409" s="54" t="s">
        <v>64</v>
      </c>
      <c r="H409" s="54" t="s">
        <v>184</v>
      </c>
      <c r="I409" s="54" t="s">
        <v>184</v>
      </c>
      <c r="J409" s="55">
        <v>3893.1</v>
      </c>
      <c r="K409" s="55">
        <v>3553.5</v>
      </c>
      <c r="L409" s="55">
        <v>0</v>
      </c>
      <c r="M409" s="56">
        <v>150</v>
      </c>
      <c r="N409" s="108">
        <f t="shared" si="118"/>
        <v>30368838.454633702</v>
      </c>
      <c r="O409" s="63">
        <v>0</v>
      </c>
      <c r="P409" s="63">
        <v>17544458.690000001</v>
      </c>
      <c r="Q409" s="63">
        <v>0</v>
      </c>
      <c r="R409" s="63">
        <v>678038.57</v>
      </c>
      <c r="S409" s="63">
        <v>9297987.9046337008</v>
      </c>
      <c r="T409" s="63">
        <v>2848353.29</v>
      </c>
      <c r="U409" s="63">
        <v>17913.0210460528</v>
      </c>
      <c r="V409" s="63">
        <v>1273.2830200640001</v>
      </c>
      <c r="W409" s="59">
        <v>2023</v>
      </c>
      <c r="X409" s="69">
        <v>609180.44999999995</v>
      </c>
      <c r="Y409" s="69">
        <f>+(K409*9.1+L409*18.19)*12</f>
        <v>388042.19999999995</v>
      </c>
      <c r="AA409" s="70" t="e">
        <v>#REF!</v>
      </c>
      <c r="AD409" s="70" t="e">
        <v>#REF!</v>
      </c>
      <c r="AP409" s="61" t="e">
        <f>+N409-#REF!</f>
        <v>#REF!</v>
      </c>
      <c r="AQ409" s="65">
        <v>1198086.6299999999</v>
      </c>
      <c r="AR409" s="3">
        <f>+(K409*10.5+L409*21)*12*0.85</f>
        <v>380579.85</v>
      </c>
      <c r="AS409" s="3">
        <f>+(K409*10.5+L409*21)*12*30</f>
        <v>13432230</v>
      </c>
      <c r="AT409" s="6">
        <f t="shared" si="119"/>
        <v>-4134242.0953662992</v>
      </c>
      <c r="AU409" s="6" t="e">
        <v>#REF!</v>
      </c>
      <c r="AV409" s="6" t="e">
        <v>#REF!</v>
      </c>
      <c r="AW409" s="110">
        <f t="shared" si="120"/>
        <v>63653920.287148632</v>
      </c>
      <c r="AX409" s="55">
        <v>6426692.6863325499</v>
      </c>
      <c r="AY409" s="55">
        <v>3800269.7376763402</v>
      </c>
      <c r="AZ409" s="55">
        <v>4017145.7248026598</v>
      </c>
      <c r="BA409" s="55">
        <v>3169959.57002912</v>
      </c>
      <c r="BB409" s="55"/>
      <c r="BC409" s="55"/>
      <c r="BD409" s="55">
        <v>296539.21750751999</v>
      </c>
      <c r="BE409" s="55"/>
      <c r="BF409" s="55">
        <v>11567597.7275539</v>
      </c>
      <c r="BG409" s="55"/>
      <c r="BH409" s="55">
        <v>22710934.820188001</v>
      </c>
      <c r="BI409" s="55">
        <v>8931908.6262432002</v>
      </c>
      <c r="BJ409" s="55">
        <v>1439566.81218164</v>
      </c>
      <c r="BK409" s="63"/>
      <c r="BL409" s="111">
        <v>1293305.3646337001</v>
      </c>
      <c r="BM409" s="110">
        <f t="shared" si="121"/>
        <v>10457498.86681534</v>
      </c>
      <c r="BN409" s="55"/>
      <c r="BO409" s="55"/>
      <c r="BP409" s="55"/>
      <c r="BQ409" s="55"/>
      <c r="BR409" s="55"/>
      <c r="BS409" s="55"/>
      <c r="BT409" s="55"/>
      <c r="BU409" s="55"/>
      <c r="BV409" s="55">
        <v>7724626.6900000004</v>
      </c>
      <c r="BW409" s="55"/>
      <c r="BX409" s="55"/>
      <c r="BY409" s="55"/>
      <c r="BZ409" s="55">
        <v>1439566.81218164</v>
      </c>
      <c r="CA409" s="63"/>
      <c r="CB409" s="64">
        <v>1293305.3646337001</v>
      </c>
      <c r="CD409" s="114"/>
    </row>
    <row r="410" spans="1:84" x14ac:dyDescent="0.25">
      <c r="A410" s="105">
        <f t="shared" si="122"/>
        <v>390</v>
      </c>
      <c r="B410" s="107">
        <v>197</v>
      </c>
      <c r="C410" s="53" t="s">
        <v>108</v>
      </c>
      <c r="D410" s="53" t="s">
        <v>136</v>
      </c>
      <c r="E410" s="54">
        <v>1974</v>
      </c>
      <c r="F410" s="54">
        <v>2013</v>
      </c>
      <c r="G410" s="54" t="s">
        <v>64</v>
      </c>
      <c r="H410" s="54">
        <v>4</v>
      </c>
      <c r="I410" s="54">
        <v>4</v>
      </c>
      <c r="J410" s="55">
        <v>3890.5</v>
      </c>
      <c r="K410" s="55">
        <v>3406.6</v>
      </c>
      <c r="L410" s="55">
        <v>0</v>
      </c>
      <c r="M410" s="56">
        <v>175</v>
      </c>
      <c r="N410" s="112">
        <f t="shared" si="118"/>
        <v>1298876.9618900002</v>
      </c>
      <c r="O410" s="55"/>
      <c r="P410" s="63">
        <v>924919.81</v>
      </c>
      <c r="Q410" s="63"/>
      <c r="R410" s="63">
        <v>347473.2</v>
      </c>
      <c r="S410" s="63">
        <v>26483.951890000099</v>
      </c>
      <c r="T410" s="63"/>
      <c r="U410" s="55">
        <v>400.12928194974501</v>
      </c>
      <c r="V410" s="55">
        <v>400.12928194974501</v>
      </c>
      <c r="W410" s="59">
        <v>2023</v>
      </c>
      <c r="X410" s="6" t="e">
        <v>#REF!</v>
      </c>
      <c r="Z410" s="62">
        <f>SUM(AA410:AO410)</f>
        <v>24100395.781890016</v>
      </c>
      <c r="AA410" s="55">
        <v>0</v>
      </c>
      <c r="AB410" s="55">
        <v>0</v>
      </c>
      <c r="AC410" s="55">
        <v>0</v>
      </c>
      <c r="AD410" s="55">
        <v>0</v>
      </c>
      <c r="AE410" s="55">
        <v>1356671.24</v>
      </c>
      <c r="AF410" s="55"/>
      <c r="AG410" s="55">
        <v>0</v>
      </c>
      <c r="AH410" s="55">
        <v>0</v>
      </c>
      <c r="AI410" s="55">
        <v>0</v>
      </c>
      <c r="AJ410" s="55">
        <v>0</v>
      </c>
      <c r="AK410" s="55">
        <v>19641111.6000809</v>
      </c>
      <c r="AL410" s="55">
        <v>0</v>
      </c>
      <c r="AM410" s="55">
        <v>2439179.8220000002</v>
      </c>
      <c r="AN410" s="63">
        <v>227512.61720000001</v>
      </c>
      <c r="AO410" s="64">
        <v>435920.50260911998</v>
      </c>
      <c r="AP410" s="61">
        <f>+N410-'Приложение №2'!E410</f>
        <v>0</v>
      </c>
      <c r="AQ410" s="6">
        <f>1535272.52-R79</f>
        <v>348389.10000000009</v>
      </c>
      <c r="AR410" s="3">
        <f>+(K410*10+L410*20)*12*0.85</f>
        <v>347473.2</v>
      </c>
      <c r="AS410" s="3">
        <f>+(K410*10+L410*20)*12*30-S79</f>
        <v>26483.948109999299</v>
      </c>
      <c r="AT410" s="6">
        <f t="shared" si="119"/>
        <v>3.7800007994519547E-3</v>
      </c>
      <c r="AU410" s="6" t="e">
        <v>#REF!</v>
      </c>
      <c r="AV410" s="6" t="e">
        <v>#REF!</v>
      </c>
      <c r="AW410" s="62">
        <f t="shared" si="120"/>
        <v>1363080.4118900001</v>
      </c>
      <c r="AX410" s="55">
        <v>0</v>
      </c>
      <c r="AY410" s="55">
        <v>0</v>
      </c>
      <c r="AZ410" s="55">
        <v>0</v>
      </c>
      <c r="BA410" s="55">
        <v>0</v>
      </c>
      <c r="BB410" s="55">
        <v>1356671.24</v>
      </c>
      <c r="BC410" s="55"/>
      <c r="BD410" s="55"/>
      <c r="BE410" s="55">
        <v>0</v>
      </c>
      <c r="BF410" s="55">
        <v>0</v>
      </c>
      <c r="BG410" s="55">
        <v>0</v>
      </c>
      <c r="BH410" s="55"/>
      <c r="BI410" s="55">
        <v>0</v>
      </c>
      <c r="BJ410" s="55"/>
      <c r="BK410" s="63"/>
      <c r="BL410" s="111">
        <v>6409.1718899999996</v>
      </c>
      <c r="BM410" s="62">
        <f t="shared" si="121"/>
        <v>1363080.4118900001</v>
      </c>
      <c r="BN410" s="55">
        <v>0</v>
      </c>
      <c r="BO410" s="55">
        <v>0</v>
      </c>
      <c r="BP410" s="55">
        <v>0</v>
      </c>
      <c r="BQ410" s="55">
        <v>0</v>
      </c>
      <c r="BR410" s="55">
        <v>1356671.24</v>
      </c>
      <c r="BS410" s="55"/>
      <c r="BT410" s="55"/>
      <c r="BU410" s="55">
        <v>0</v>
      </c>
      <c r="BV410" s="55">
        <v>0</v>
      </c>
      <c r="BW410" s="55">
        <v>0</v>
      </c>
      <c r="BX410" s="55"/>
      <c r="BY410" s="55">
        <v>0</v>
      </c>
      <c r="BZ410" s="55"/>
      <c r="CA410" s="63"/>
      <c r="CB410" s="64">
        <v>6409.1718899999996</v>
      </c>
      <c r="CD410" s="6"/>
    </row>
    <row r="411" spans="1:84" x14ac:dyDescent="0.25">
      <c r="A411" s="105">
        <f t="shared" si="122"/>
        <v>391</v>
      </c>
      <c r="B411" s="107" t="s">
        <v>455</v>
      </c>
      <c r="C411" s="107" t="s">
        <v>108</v>
      </c>
      <c r="D411" s="107" t="s">
        <v>344</v>
      </c>
      <c r="E411" s="54">
        <v>1979</v>
      </c>
      <c r="F411" s="54">
        <v>2013</v>
      </c>
      <c r="G411" s="54" t="s">
        <v>64</v>
      </c>
      <c r="H411" s="54">
        <v>5</v>
      </c>
      <c r="I411" s="54">
        <v>4</v>
      </c>
      <c r="J411" s="55">
        <v>3602.3</v>
      </c>
      <c r="K411" s="55">
        <v>3466.4</v>
      </c>
      <c r="L411" s="55">
        <v>0</v>
      </c>
      <c r="M411" s="56">
        <v>87</v>
      </c>
      <c r="N411" s="108">
        <f t="shared" si="118"/>
        <v>13084475.941771001</v>
      </c>
      <c r="O411" s="63"/>
      <c r="P411" s="63"/>
      <c r="Q411" s="63"/>
      <c r="R411" s="63">
        <v>1700767.73</v>
      </c>
      <c r="S411" s="63">
        <v>11383708.211771</v>
      </c>
      <c r="T411" s="63"/>
      <c r="U411" s="63">
        <v>5381.5013600683696</v>
      </c>
      <c r="V411" s="63">
        <v>1278.2830200640001</v>
      </c>
      <c r="W411" s="59">
        <v>2023</v>
      </c>
      <c r="X411" s="6" t="e">
        <v>#REF!</v>
      </c>
      <c r="Z411" s="62">
        <f>SUM(AA411:AO411)</f>
        <v>20589034.119999997</v>
      </c>
      <c r="AA411" s="55">
        <v>9020010.4696379993</v>
      </c>
      <c r="AB411" s="55">
        <v>3231794.773788</v>
      </c>
      <c r="AC411" s="55">
        <v>3412556.6672820002</v>
      </c>
      <c r="AD411" s="55">
        <v>2178146.673738</v>
      </c>
      <c r="AE411" s="55">
        <v>1610487.0989339999</v>
      </c>
      <c r="AF411" s="55"/>
      <c r="AG411" s="55">
        <v>324068.03834999999</v>
      </c>
      <c r="AH411" s="55">
        <v>0</v>
      </c>
      <c r="AI411" s="55">
        <v>0</v>
      </c>
      <c r="AJ411" s="55">
        <v>0</v>
      </c>
      <c r="AK411" s="55">
        <v>0</v>
      </c>
      <c r="AL411" s="55">
        <v>0</v>
      </c>
      <c r="AM411" s="55">
        <v>334025.17</v>
      </c>
      <c r="AN411" s="55">
        <v>45460.9</v>
      </c>
      <c r="AO411" s="64">
        <v>432484.32827</v>
      </c>
      <c r="AP411" s="61">
        <f>+N411-'Приложение №2'!E411</f>
        <v>0</v>
      </c>
      <c r="AQ411" s="65">
        <v>2119168.21</v>
      </c>
      <c r="AR411" s="3">
        <f>+(K411*10.5+L411*21)*12*0.85</f>
        <v>371251.44</v>
      </c>
      <c r="AS411" s="3">
        <f>+(K411*10.5+L411*21)*12*30</f>
        <v>13102992</v>
      </c>
      <c r="AT411" s="6">
        <f t="shared" si="119"/>
        <v>-1719283.7882289998</v>
      </c>
      <c r="AU411" s="6" t="e">
        <v>#REF!</v>
      </c>
      <c r="AV411" s="6" t="e">
        <v>#REF!</v>
      </c>
      <c r="AW411" s="110">
        <f t="shared" si="120"/>
        <v>18654436.314541005</v>
      </c>
      <c r="AX411" s="55">
        <v>9020010.4696379993</v>
      </c>
      <c r="AY411" s="55">
        <v>3057898.49</v>
      </c>
      <c r="AZ411" s="55">
        <v>3412556.6672820002</v>
      </c>
      <c r="BA411" s="55">
        <v>2178472.4900000002</v>
      </c>
      <c r="BB411" s="55"/>
      <c r="BC411" s="55"/>
      <c r="BD411" s="55">
        <v>324068.03834999999</v>
      </c>
      <c r="BE411" s="55">
        <v>0</v>
      </c>
      <c r="BF411" s="55">
        <v>0</v>
      </c>
      <c r="BG411" s="55">
        <v>0</v>
      </c>
      <c r="BH411" s="55">
        <v>0</v>
      </c>
      <c r="BI411" s="55">
        <v>0</v>
      </c>
      <c r="BJ411" s="55">
        <v>239862.8475</v>
      </c>
      <c r="BK411" s="55">
        <f>24000</f>
        <v>24000</v>
      </c>
      <c r="BL411" s="111">
        <v>397567.31177099998</v>
      </c>
      <c r="BM411" s="110">
        <f t="shared" si="121"/>
        <v>16991652.147259001</v>
      </c>
      <c r="BN411" s="55">
        <v>9020010.4696379993</v>
      </c>
      <c r="BO411" s="55">
        <v>3057898.49</v>
      </c>
      <c r="BP411" s="55">
        <v>1749772.5</v>
      </c>
      <c r="BQ411" s="55">
        <v>2178472.4900000002</v>
      </c>
      <c r="BR411" s="55"/>
      <c r="BS411" s="55"/>
      <c r="BT411" s="55">
        <v>324068.03834999999</v>
      </c>
      <c r="BU411" s="55">
        <v>0</v>
      </c>
      <c r="BV411" s="55">
        <v>0</v>
      </c>
      <c r="BW411" s="55">
        <v>0</v>
      </c>
      <c r="BX411" s="55">
        <v>0</v>
      </c>
      <c r="BY411" s="55">
        <v>0</v>
      </c>
      <c r="BZ411" s="55">
        <v>239862.8475</v>
      </c>
      <c r="CA411" s="55">
        <f>24000</f>
        <v>24000</v>
      </c>
      <c r="CB411" s="64">
        <v>397567.31177099998</v>
      </c>
      <c r="CD411" s="6"/>
    </row>
    <row r="412" spans="1:84" x14ac:dyDescent="0.25">
      <c r="A412" s="105">
        <f t="shared" si="122"/>
        <v>392</v>
      </c>
      <c r="B412" s="107" t="s">
        <v>455</v>
      </c>
      <c r="C412" s="107" t="s">
        <v>108</v>
      </c>
      <c r="D412" s="107" t="s">
        <v>346</v>
      </c>
      <c r="E412" s="54">
        <v>1978</v>
      </c>
      <c r="F412" s="54">
        <v>2008</v>
      </c>
      <c r="G412" s="54" t="s">
        <v>64</v>
      </c>
      <c r="H412" s="54">
        <v>5</v>
      </c>
      <c r="I412" s="54">
        <v>4</v>
      </c>
      <c r="J412" s="55">
        <v>4929.7</v>
      </c>
      <c r="K412" s="55">
        <v>4335.1000000000004</v>
      </c>
      <c r="L412" s="55">
        <v>0</v>
      </c>
      <c r="M412" s="56">
        <v>213</v>
      </c>
      <c r="N412" s="108">
        <f t="shared" si="118"/>
        <v>2335605.1761766598</v>
      </c>
      <c r="O412" s="63"/>
      <c r="P412" s="63"/>
      <c r="Q412" s="63"/>
      <c r="R412" s="63">
        <v>1291080.1299999999</v>
      </c>
      <c r="S412" s="63">
        <v>1044525.04617666</v>
      </c>
      <c r="T412" s="113"/>
      <c r="U412" s="55">
        <v>2164.3192336970301</v>
      </c>
      <c r="V412" s="55">
        <v>2164.3192336970301</v>
      </c>
      <c r="W412" s="59">
        <v>2023</v>
      </c>
      <c r="X412" s="6" t="e">
        <v>#REF!</v>
      </c>
      <c r="Z412" s="62">
        <f>SUM(AA412:AO412)</f>
        <v>44837101.509929962</v>
      </c>
      <c r="AA412" s="55">
        <v>0</v>
      </c>
      <c r="AB412" s="55">
        <v>4199173.3275891002</v>
      </c>
      <c r="AC412" s="55">
        <v>4438837.1277801599</v>
      </c>
      <c r="AD412" s="55">
        <v>3384651.0431630402</v>
      </c>
      <c r="AE412" s="55">
        <v>1471946.54</v>
      </c>
      <c r="AF412" s="55"/>
      <c r="AG412" s="55">
        <v>360791.89596240001</v>
      </c>
      <c r="AH412" s="55">
        <v>0</v>
      </c>
      <c r="AI412" s="55">
        <v>0</v>
      </c>
      <c r="AJ412" s="55">
        <v>0</v>
      </c>
      <c r="AK412" s="55">
        <v>25094924.3780642</v>
      </c>
      <c r="AL412" s="55">
        <v>0</v>
      </c>
      <c r="AM412" s="55">
        <v>4627048.3442000002</v>
      </c>
      <c r="AN412" s="63">
        <v>433511.50790000003</v>
      </c>
      <c r="AO412" s="64">
        <v>826217.34527106001</v>
      </c>
      <c r="AP412" s="61"/>
      <c r="AQ412" s="6">
        <f>2077071.68</f>
        <v>2077071.68</v>
      </c>
      <c r="AR412" s="3">
        <f>+(K412*10+L412*20)*12*0.85</f>
        <v>442180.2</v>
      </c>
      <c r="AS412" s="3">
        <f>+(K412*10+L412*20)*12*30</f>
        <v>15606360</v>
      </c>
      <c r="AT412" s="6">
        <f t="shared" si="119"/>
        <v>-14561834.953823339</v>
      </c>
      <c r="AU412" s="6" t="e">
        <v>#REF!</v>
      </c>
      <c r="AV412" s="6" t="e">
        <v>#REF!</v>
      </c>
      <c r="AW412" s="62">
        <f t="shared" si="120"/>
        <v>9382540.3126575109</v>
      </c>
      <c r="AX412" s="55">
        <v>0</v>
      </c>
      <c r="AY412" s="55">
        <v>2812958.6787006902</v>
      </c>
      <c r="AZ412" s="55">
        <v>4438837.1277801599</v>
      </c>
      <c r="BA412" s="55"/>
      <c r="BB412" s="55">
        <v>1471946.54</v>
      </c>
      <c r="BC412" s="55"/>
      <c r="BD412" s="55"/>
      <c r="BE412" s="55">
        <v>0</v>
      </c>
      <c r="BF412" s="55">
        <v>0</v>
      </c>
      <c r="BG412" s="55">
        <v>0</v>
      </c>
      <c r="BH412" s="55"/>
      <c r="BI412" s="55">
        <v>0</v>
      </c>
      <c r="BJ412" s="55"/>
      <c r="BK412" s="63"/>
      <c r="BL412" s="111">
        <f>555416.30026576+103381.6659109</f>
        <v>658797.96617666003</v>
      </c>
      <c r="BM412" s="62">
        <f t="shared" si="121"/>
        <v>7669806.3939568195</v>
      </c>
      <c r="BN412" s="55">
        <v>0</v>
      </c>
      <c r="BO412" s="55">
        <v>1100224.76</v>
      </c>
      <c r="BP412" s="55">
        <v>4438837.1277801599</v>
      </c>
      <c r="BQ412" s="55"/>
      <c r="BR412" s="55">
        <v>1471946.54</v>
      </c>
      <c r="BS412" s="55"/>
      <c r="BT412" s="55"/>
      <c r="BU412" s="55">
        <v>0</v>
      </c>
      <c r="BV412" s="55">
        <v>0</v>
      </c>
      <c r="BW412" s="55">
        <v>0</v>
      </c>
      <c r="BX412" s="55"/>
      <c r="BY412" s="55">
        <v>0</v>
      </c>
      <c r="BZ412" s="55"/>
      <c r="CA412" s="63"/>
      <c r="CB412" s="64">
        <f>555416.30026576+103381.6659109</f>
        <v>658797.96617666003</v>
      </c>
      <c r="CD412" s="6"/>
    </row>
    <row r="413" spans="1:84" x14ac:dyDescent="0.25">
      <c r="A413" s="105">
        <f t="shared" si="122"/>
        <v>393</v>
      </c>
      <c r="B413" s="107">
        <v>198</v>
      </c>
      <c r="C413" s="53" t="s">
        <v>108</v>
      </c>
      <c r="D413" s="53" t="s">
        <v>146</v>
      </c>
      <c r="E413" s="54">
        <v>1990</v>
      </c>
      <c r="F413" s="54">
        <v>2005</v>
      </c>
      <c r="G413" s="54" t="s">
        <v>64</v>
      </c>
      <c r="H413" s="54">
        <v>5</v>
      </c>
      <c r="I413" s="54">
        <v>4</v>
      </c>
      <c r="J413" s="55">
        <v>4982</v>
      </c>
      <c r="K413" s="55">
        <v>4404.6000000000004</v>
      </c>
      <c r="L413" s="55">
        <v>0</v>
      </c>
      <c r="M413" s="56">
        <v>212</v>
      </c>
      <c r="N413" s="112">
        <f t="shared" ref="N413:N444" si="126">+P413+Q413+R413+S413+T413</f>
        <v>2710702.7447870402</v>
      </c>
      <c r="O413" s="63"/>
      <c r="P413" s="63">
        <v>1723683.9280000001</v>
      </c>
      <c r="Q413" s="63"/>
      <c r="R413" s="63">
        <v>627783.53</v>
      </c>
      <c r="S413" s="63">
        <v>97961.124787040098</v>
      </c>
      <c r="T413" s="63">
        <v>261274.16200000001</v>
      </c>
      <c r="U413" s="63">
        <v>1039.2822625437</v>
      </c>
      <c r="V413" s="63">
        <v>1285.2830200640001</v>
      </c>
      <c r="W413" s="59">
        <v>2023</v>
      </c>
      <c r="X413" s="6" t="e">
        <v>#REF!</v>
      </c>
      <c r="Z413" s="62">
        <f>SUM(AA413:AO413)</f>
        <v>49032236.019999966</v>
      </c>
      <c r="AA413" s="55">
        <v>0</v>
      </c>
      <c r="AB413" s="55">
        <v>0</v>
      </c>
      <c r="AC413" s="55">
        <v>4479661.5288129598</v>
      </c>
      <c r="AD413" s="55">
        <v>0</v>
      </c>
      <c r="AE413" s="55">
        <v>0</v>
      </c>
      <c r="AF413" s="55"/>
      <c r="AG413" s="55">
        <v>0</v>
      </c>
      <c r="AH413" s="55">
        <v>0</v>
      </c>
      <c r="AI413" s="55">
        <v>13044373.2933948</v>
      </c>
      <c r="AJ413" s="55">
        <v>0</v>
      </c>
      <c r="AK413" s="55">
        <v>25325724.749393001</v>
      </c>
      <c r="AL413" s="55">
        <v>0</v>
      </c>
      <c r="AM413" s="55">
        <v>4755116.6317999996</v>
      </c>
      <c r="AN413" s="63">
        <v>490322.3602</v>
      </c>
      <c r="AO413" s="64">
        <v>937037.45639920002</v>
      </c>
      <c r="AP413" s="61">
        <f>+N413-'Приложение №2'!E413</f>
        <v>0</v>
      </c>
      <c r="AQ413" s="6">
        <f>2706527.87-R88</f>
        <v>156050.87000000011</v>
      </c>
      <c r="AR413" s="3">
        <f>+(K413*10.5+L413*21)*12*0.85</f>
        <v>471732.66000000009</v>
      </c>
      <c r="AS413" s="3">
        <f>+(K413*10.5+L413*21)*12*30-S88</f>
        <v>411357.19838780351</v>
      </c>
      <c r="AT413" s="6">
        <f t="shared" ref="AT413:AT444" si="127">+S413-AS413</f>
        <v>-313396.0736007634</v>
      </c>
      <c r="AU413" s="6" t="e">
        <v>#REF!</v>
      </c>
      <c r="AV413" s="6" t="e">
        <v>#REF!</v>
      </c>
      <c r="AW413" s="110">
        <f t="shared" ref="AW413:AW444" si="128">SUBTOTAL(9, AX413:BL413)</f>
        <v>4577622.6535999998</v>
      </c>
      <c r="AX413" s="55">
        <v>0</v>
      </c>
      <c r="AY413" s="55">
        <v>0</v>
      </c>
      <c r="AZ413" s="55">
        <v>4479661.5288129598</v>
      </c>
      <c r="BA413" s="55">
        <v>0</v>
      </c>
      <c r="BB413" s="55">
        <v>0</v>
      </c>
      <c r="BC413" s="55"/>
      <c r="BD413" s="55"/>
      <c r="BE413" s="55">
        <v>0</v>
      </c>
      <c r="BF413" s="55"/>
      <c r="BG413" s="55"/>
      <c r="BH413" s="55"/>
      <c r="BI413" s="55">
        <v>0</v>
      </c>
      <c r="BJ413" s="55"/>
      <c r="BK413" s="63"/>
      <c r="BL413" s="111">
        <v>97961.124787039997</v>
      </c>
      <c r="BM413" s="110">
        <f t="shared" ref="BM413:BM444" si="129">SUBTOTAL(9, BN413:CB413)</f>
        <v>4577622.6535999998</v>
      </c>
      <c r="BN413" s="55">
        <v>0</v>
      </c>
      <c r="BO413" s="55">
        <v>0</v>
      </c>
      <c r="BP413" s="55">
        <v>4479661.5288129598</v>
      </c>
      <c r="BQ413" s="55">
        <v>0</v>
      </c>
      <c r="BR413" s="55">
        <v>0</v>
      </c>
      <c r="BS413" s="55"/>
      <c r="BT413" s="55"/>
      <c r="BU413" s="55">
        <v>0</v>
      </c>
      <c r="BV413" s="55"/>
      <c r="BW413" s="55"/>
      <c r="BX413" s="55"/>
      <c r="BY413" s="55">
        <v>0</v>
      </c>
      <c r="BZ413" s="55"/>
      <c r="CA413" s="63"/>
      <c r="CB413" s="64">
        <v>97961.124787039997</v>
      </c>
      <c r="CD413" s="163"/>
    </row>
    <row r="414" spans="1:84" x14ac:dyDescent="0.25">
      <c r="A414" s="105">
        <f t="shared" ref="A414:A433" si="130">+A413+1</f>
        <v>394</v>
      </c>
      <c r="B414" s="107" t="s">
        <v>455</v>
      </c>
      <c r="C414" s="107" t="s">
        <v>108</v>
      </c>
      <c r="D414" s="107" t="s">
        <v>147</v>
      </c>
      <c r="E414" s="54">
        <v>1970</v>
      </c>
      <c r="F414" s="54">
        <v>2013</v>
      </c>
      <c r="G414" s="54" t="s">
        <v>64</v>
      </c>
      <c r="H414" s="54">
        <v>5</v>
      </c>
      <c r="I414" s="54">
        <v>4</v>
      </c>
      <c r="J414" s="55">
        <v>3068</v>
      </c>
      <c r="K414" s="55">
        <v>2483.8000000000002</v>
      </c>
      <c r="L414" s="55">
        <v>584.20000000000005</v>
      </c>
      <c r="M414" s="56">
        <v>142</v>
      </c>
      <c r="N414" s="108">
        <f t="shared" si="126"/>
        <v>4785657.9740000004</v>
      </c>
      <c r="O414" s="63"/>
      <c r="P414" s="63"/>
      <c r="Q414" s="63"/>
      <c r="R414" s="63"/>
      <c r="S414" s="63">
        <v>4785657.9740000004</v>
      </c>
      <c r="T414" s="63"/>
      <c r="U414" s="63">
        <v>4744.8332253472399</v>
      </c>
      <c r="V414" s="63">
        <v>4744.8332253472399</v>
      </c>
      <c r="W414" s="59">
        <v>2023</v>
      </c>
      <c r="X414" s="6" t="e">
        <v>#REF!</v>
      </c>
      <c r="Z414" s="62">
        <f>SUM(AA414:AO414)</f>
        <v>25875618.41</v>
      </c>
      <c r="AA414" s="55">
        <v>5945419.54417866</v>
      </c>
      <c r="AB414" s="55">
        <v>2118597.4078747798</v>
      </c>
      <c r="AC414" s="55">
        <v>2213462.8846331402</v>
      </c>
      <c r="AD414" s="55">
        <v>1385767.7235401999</v>
      </c>
      <c r="AE414" s="55">
        <v>0</v>
      </c>
      <c r="AF414" s="55"/>
      <c r="AG414" s="55">
        <v>228142.02967667999</v>
      </c>
      <c r="AH414" s="55">
        <v>0</v>
      </c>
      <c r="AI414" s="55">
        <v>10869131.540912401</v>
      </c>
      <c r="AJ414" s="55">
        <v>0</v>
      </c>
      <c r="AK414" s="55">
        <v>0</v>
      </c>
      <c r="AL414" s="55">
        <v>0</v>
      </c>
      <c r="AM414" s="55">
        <v>2358614.5957999998</v>
      </c>
      <c r="AN414" s="63">
        <v>258756.18410000001</v>
      </c>
      <c r="AO414" s="64">
        <v>497726.49928414001</v>
      </c>
      <c r="AP414" s="61">
        <f>+N414-'Приложение №2'!E414</f>
        <v>-1.3653198257088661E-3</v>
      </c>
      <c r="AQ414" s="6">
        <f>504168.77-R252</f>
        <v>-267144.01</v>
      </c>
      <c r="AR414" s="3">
        <f>+(K414*10+L414*20)*12*0.85</f>
        <v>372524.39999999997</v>
      </c>
      <c r="AS414" s="3">
        <f>+(K414*10+L414*20)*12*30-S252</f>
        <v>1125956.1589806993</v>
      </c>
      <c r="AT414" s="6">
        <f t="shared" si="127"/>
        <v>3659701.8150193011</v>
      </c>
      <c r="AU414" s="6" t="e">
        <v>#REF!</v>
      </c>
      <c r="AV414" s="6" t="e">
        <v>#REF!</v>
      </c>
      <c r="AW414" s="62">
        <f t="shared" si="128"/>
        <v>14557148.33536532</v>
      </c>
      <c r="AX414" s="55">
        <v>6546503.21</v>
      </c>
      <c r="AY414" s="55">
        <v>2315850.2599999998</v>
      </c>
      <c r="AZ414" s="55"/>
      <c r="BA414" s="55"/>
      <c r="BB414" s="55"/>
      <c r="BC414" s="55"/>
      <c r="BD414" s="55"/>
      <c r="BE414" s="55"/>
      <c r="BF414" s="55">
        <v>5556548.1200000001</v>
      </c>
      <c r="BG414" s="55">
        <v>0</v>
      </c>
      <c r="BH414" s="55">
        <v>0</v>
      </c>
      <c r="BI414" s="55">
        <v>0</v>
      </c>
      <c r="BJ414" s="55"/>
      <c r="BK414" s="63"/>
      <c r="BL414" s="111">
        <v>138246.74536532001</v>
      </c>
      <c r="BM414" s="62">
        <f t="shared" si="129"/>
        <v>14557148.33536532</v>
      </c>
      <c r="BN414" s="55">
        <v>6546503.21</v>
      </c>
      <c r="BO414" s="55">
        <v>2315850.2599999998</v>
      </c>
      <c r="BP414" s="55"/>
      <c r="BQ414" s="55"/>
      <c r="BR414" s="55"/>
      <c r="BS414" s="55"/>
      <c r="BT414" s="55"/>
      <c r="BU414" s="55"/>
      <c r="BV414" s="55">
        <v>5556548.1200000001</v>
      </c>
      <c r="BW414" s="55">
        <v>0</v>
      </c>
      <c r="BX414" s="55">
        <v>0</v>
      </c>
      <c r="BY414" s="55">
        <v>0</v>
      </c>
      <c r="BZ414" s="55"/>
      <c r="CA414" s="63"/>
      <c r="CB414" s="64">
        <v>138246.74536532001</v>
      </c>
      <c r="CD414" s="6"/>
    </row>
    <row r="415" spans="1:84" x14ac:dyDescent="0.25">
      <c r="A415" s="105">
        <f t="shared" si="130"/>
        <v>395</v>
      </c>
      <c r="B415" s="107" t="s">
        <v>455</v>
      </c>
      <c r="C415" s="107" t="s">
        <v>108</v>
      </c>
      <c r="D415" s="107" t="s">
        <v>350</v>
      </c>
      <c r="E415" s="54">
        <v>1972</v>
      </c>
      <c r="F415" s="54">
        <v>2013</v>
      </c>
      <c r="G415" s="54" t="s">
        <v>64</v>
      </c>
      <c r="H415" s="54">
        <v>4</v>
      </c>
      <c r="I415" s="54">
        <v>4</v>
      </c>
      <c r="J415" s="55">
        <v>3047.8</v>
      </c>
      <c r="K415" s="55">
        <v>2789.4</v>
      </c>
      <c r="L415" s="55">
        <v>0</v>
      </c>
      <c r="M415" s="56">
        <v>107</v>
      </c>
      <c r="N415" s="108">
        <f t="shared" si="126"/>
        <v>14676460.70795056</v>
      </c>
      <c r="O415" s="63"/>
      <c r="P415" s="63">
        <v>13256381.58</v>
      </c>
      <c r="Q415" s="63"/>
      <c r="R415" s="63">
        <v>1420079.1279505601</v>
      </c>
      <c r="S415" s="63">
        <v>0</v>
      </c>
      <c r="T415" s="63"/>
      <c r="U415" s="55">
        <v>7373.2783008338101</v>
      </c>
      <c r="V415" s="55">
        <v>7373.2783008338101</v>
      </c>
      <c r="W415" s="59">
        <v>2023</v>
      </c>
      <c r="X415" s="6"/>
      <c r="Z415" s="62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  <c r="AN415" s="55"/>
      <c r="AO415" s="64"/>
      <c r="AP415" s="61">
        <f>+N415-'Приложение №2'!E385</f>
        <v>7560868.3674126454</v>
      </c>
      <c r="AQ415" s="1">
        <f>1184908.35-361522.2864</f>
        <v>823386.06360000011</v>
      </c>
      <c r="AT415" s="6">
        <f t="shared" si="127"/>
        <v>0</v>
      </c>
      <c r="AU415" s="6" t="e">
        <v>#REF!</v>
      </c>
      <c r="AV415" s="6" t="e">
        <v>#REF!</v>
      </c>
      <c r="AW415" s="62">
        <f t="shared" si="128"/>
        <v>20567022.49234584</v>
      </c>
      <c r="AX415" s="55"/>
      <c r="AY415" s="55"/>
      <c r="AZ415" s="55"/>
      <c r="BA415" s="55"/>
      <c r="BB415" s="55"/>
      <c r="BC415" s="55"/>
      <c r="BD415" s="55">
        <v>0</v>
      </c>
      <c r="BE415" s="55">
        <v>0</v>
      </c>
      <c r="BF415" s="55">
        <v>12209113.6236846</v>
      </c>
      <c r="BG415" s="55">
        <v>0</v>
      </c>
      <c r="BH415" s="55"/>
      <c r="BI415" s="55">
        <v>6818312.13071068</v>
      </c>
      <c r="BJ415" s="55">
        <v>684163.08</v>
      </c>
      <c r="BK415" s="55"/>
      <c r="BL415" s="111">
        <v>855433.65795056196</v>
      </c>
      <c r="BM415" s="62">
        <f t="shared" si="129"/>
        <v>20567022.49234584</v>
      </c>
      <c r="BN415" s="55"/>
      <c r="BO415" s="55"/>
      <c r="BP415" s="55"/>
      <c r="BQ415" s="55"/>
      <c r="BR415" s="55"/>
      <c r="BS415" s="55"/>
      <c r="BT415" s="55">
        <v>0</v>
      </c>
      <c r="BU415" s="55">
        <v>0</v>
      </c>
      <c r="BV415" s="55">
        <v>12209113.6236846</v>
      </c>
      <c r="BW415" s="55">
        <v>0</v>
      </c>
      <c r="BX415" s="55"/>
      <c r="BY415" s="55">
        <v>6818312.13071068</v>
      </c>
      <c r="BZ415" s="55">
        <v>684163.08</v>
      </c>
      <c r="CA415" s="55"/>
      <c r="CB415" s="64">
        <v>855433.65795056196</v>
      </c>
      <c r="CD415" s="163"/>
      <c r="CE415"/>
      <c r="CF415" s="117"/>
    </row>
    <row r="416" spans="1:84" x14ac:dyDescent="0.25">
      <c r="A416" s="105">
        <f t="shared" si="130"/>
        <v>396</v>
      </c>
      <c r="B416" s="107" t="s">
        <v>455</v>
      </c>
      <c r="C416" s="107" t="s">
        <v>108</v>
      </c>
      <c r="D416" s="107" t="s">
        <v>351</v>
      </c>
      <c r="E416" s="54">
        <v>1974</v>
      </c>
      <c r="F416" s="54">
        <v>2013</v>
      </c>
      <c r="G416" s="54" t="s">
        <v>64</v>
      </c>
      <c r="H416" s="54">
        <v>4</v>
      </c>
      <c r="I416" s="54">
        <v>4</v>
      </c>
      <c r="J416" s="55">
        <v>2989.2</v>
      </c>
      <c r="K416" s="55">
        <v>2536.9</v>
      </c>
      <c r="L416" s="55">
        <v>230.9</v>
      </c>
      <c r="M416" s="56">
        <v>90</v>
      </c>
      <c r="N416" s="108">
        <f t="shared" si="126"/>
        <v>11688714.664846921</v>
      </c>
      <c r="O416" s="63"/>
      <c r="P416" s="63">
        <v>10258597.460000001</v>
      </c>
      <c r="Q416" s="63"/>
      <c r="R416" s="63">
        <v>1430117.20484692</v>
      </c>
      <c r="S416" s="63">
        <v>0</v>
      </c>
      <c r="T416" s="63"/>
      <c r="U416" s="55">
        <v>7160.1408428928698</v>
      </c>
      <c r="V416" s="55">
        <v>7160.1408428928698</v>
      </c>
      <c r="W416" s="59">
        <v>2023</v>
      </c>
      <c r="X416" s="6"/>
      <c r="Z416" s="62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64"/>
      <c r="AP416" s="61">
        <f>+N416-'Приложение №2'!E518</f>
        <v>6603148.7934779562</v>
      </c>
      <c r="AQ416" s="1">
        <f>1292399.14-848241.5751</f>
        <v>444157.56489999988</v>
      </c>
      <c r="AT416" s="6">
        <f t="shared" si="127"/>
        <v>0</v>
      </c>
      <c r="AU416" s="6" t="e">
        <v>#REF!</v>
      </c>
      <c r="AV416" s="6" t="e">
        <v>#REF!</v>
      </c>
      <c r="AW416" s="62">
        <f t="shared" si="128"/>
        <v>19823053.824958891</v>
      </c>
      <c r="AX416" s="55"/>
      <c r="AY416" s="55"/>
      <c r="AZ416" s="55"/>
      <c r="BA416" s="55"/>
      <c r="BB416" s="55"/>
      <c r="BC416" s="55"/>
      <c r="BD416" s="55">
        <v>0</v>
      </c>
      <c r="BE416" s="55">
        <v>0</v>
      </c>
      <c r="BF416" s="55">
        <v>12089519.1280836</v>
      </c>
      <c r="BG416" s="55">
        <v>0</v>
      </c>
      <c r="BH416" s="55"/>
      <c r="BI416" s="55">
        <v>6201109.93202837</v>
      </c>
      <c r="BJ416" s="55">
        <v>684163.08</v>
      </c>
      <c r="BK416" s="55"/>
      <c r="BL416" s="111">
        <v>848261.68484692299</v>
      </c>
      <c r="BM416" s="62">
        <f t="shared" si="129"/>
        <v>19817837.824958891</v>
      </c>
      <c r="BN416" s="55"/>
      <c r="BO416" s="55"/>
      <c r="BP416" s="55"/>
      <c r="BQ416" s="55"/>
      <c r="BR416" s="55"/>
      <c r="BS416" s="55"/>
      <c r="BT416" s="55">
        <v>0</v>
      </c>
      <c r="BU416" s="55">
        <v>0</v>
      </c>
      <c r="BV416" s="55">
        <v>12089519.1280836</v>
      </c>
      <c r="BW416" s="55">
        <v>0</v>
      </c>
      <c r="BX416" s="55"/>
      <c r="BY416" s="55">
        <v>6201109.93202837</v>
      </c>
      <c r="BZ416" s="55">
        <v>678947.08</v>
      </c>
      <c r="CA416" s="55"/>
      <c r="CB416" s="64">
        <v>848261.68484692299</v>
      </c>
      <c r="CD416"/>
      <c r="CE416"/>
      <c r="CF416" s="117"/>
    </row>
    <row r="417" spans="1:84" s="69" customFormat="1" x14ac:dyDescent="0.25">
      <c r="A417" s="105">
        <f t="shared" si="130"/>
        <v>397</v>
      </c>
      <c r="B417" s="107" t="s">
        <v>455</v>
      </c>
      <c r="C417" s="53" t="s">
        <v>108</v>
      </c>
      <c r="D417" s="53" t="s">
        <v>353</v>
      </c>
      <c r="E417" s="54" t="s">
        <v>338</v>
      </c>
      <c r="F417" s="54"/>
      <c r="G417" s="54" t="s">
        <v>64</v>
      </c>
      <c r="H417" s="54" t="s">
        <v>184</v>
      </c>
      <c r="I417" s="54" t="s">
        <v>184</v>
      </c>
      <c r="J417" s="55">
        <v>4032.8</v>
      </c>
      <c r="K417" s="55">
        <v>3458.5</v>
      </c>
      <c r="L417" s="55">
        <v>0</v>
      </c>
      <c r="M417" s="56">
        <v>156</v>
      </c>
      <c r="N417" s="112">
        <f t="shared" si="126"/>
        <v>3858944.1764744697</v>
      </c>
      <c r="O417" s="55">
        <v>0</v>
      </c>
      <c r="P417" s="63">
        <v>1123866.43</v>
      </c>
      <c r="Q417" s="63">
        <v>0</v>
      </c>
      <c r="R417" s="63">
        <v>195889.85</v>
      </c>
      <c r="S417" s="63">
        <v>2539187.8964744699</v>
      </c>
      <c r="T417" s="63"/>
      <c r="U417" s="55">
        <v>14851.7595489707</v>
      </c>
      <c r="V417" s="55">
        <v>14851.7595489707</v>
      </c>
      <c r="W417" s="59">
        <v>2023</v>
      </c>
      <c r="X417" s="69">
        <v>1316311.58</v>
      </c>
      <c r="Y417" s="69">
        <f>+(K417*9.1+L417*18.19)*12</f>
        <v>377668.19999999995</v>
      </c>
      <c r="AA417" s="70" t="e">
        <v>#REF!</v>
      </c>
      <c r="AD417" s="70" t="e">
        <v>#REF!</v>
      </c>
      <c r="AP417" s="61">
        <f>+N417-'Приложение №2'!E417</f>
        <v>0</v>
      </c>
      <c r="AQ417" s="69">
        <v>1622977.77</v>
      </c>
      <c r="AR417" s="3">
        <f>+(K417*10+L417*20)*12*0.85</f>
        <v>352767</v>
      </c>
      <c r="AS417" s="3">
        <f>+(K417*10+L417*20)*12*30</f>
        <v>12450600</v>
      </c>
      <c r="AT417" s="6">
        <f t="shared" si="127"/>
        <v>-9911412.1035255305</v>
      </c>
      <c r="AU417" s="6" t="e">
        <v>#REF!</v>
      </c>
      <c r="AV417" s="6" t="e">
        <v>#REF!</v>
      </c>
      <c r="AW417" s="62">
        <f t="shared" si="128"/>
        <v>51364810.400115304</v>
      </c>
      <c r="AX417" s="55">
        <v>6144729.9015154103</v>
      </c>
      <c r="AY417" s="55">
        <v>3579457.7618007301</v>
      </c>
      <c r="AZ417" s="55">
        <v>3887139.10374681</v>
      </c>
      <c r="BA417" s="55">
        <v>2975701.9584087301</v>
      </c>
      <c r="BB417" s="55">
        <v>1375468.2230831799</v>
      </c>
      <c r="BC417" s="55"/>
      <c r="BD417" s="55">
        <v>292698.95808608597</v>
      </c>
      <c r="BE417" s="55"/>
      <c r="BF417" s="55"/>
      <c r="BG417" s="55"/>
      <c r="BH417" s="55">
        <v>22115449.1287481</v>
      </c>
      <c r="BI417" s="55">
        <v>8607388.0582517795</v>
      </c>
      <c r="BJ417" s="55">
        <v>1315726.92</v>
      </c>
      <c r="BK417" s="63"/>
      <c r="BL417" s="111">
        <v>1071050.3864744699</v>
      </c>
      <c r="BM417" s="62">
        <f t="shared" si="129"/>
        <v>51364810.400115304</v>
      </c>
      <c r="BN417" s="55">
        <v>6144729.9015154103</v>
      </c>
      <c r="BO417" s="55">
        <v>3579457.7618007301</v>
      </c>
      <c r="BP417" s="55">
        <v>3887139.10374681</v>
      </c>
      <c r="BQ417" s="55">
        <v>2975701.9584087301</v>
      </c>
      <c r="BR417" s="55">
        <v>1375468.2230831799</v>
      </c>
      <c r="BS417" s="55"/>
      <c r="BT417" s="55">
        <v>292698.95808608597</v>
      </c>
      <c r="BU417" s="55"/>
      <c r="BV417" s="55"/>
      <c r="BW417" s="55"/>
      <c r="BX417" s="55">
        <v>22115449.1287481</v>
      </c>
      <c r="BY417" s="55">
        <v>8607388.0582517795</v>
      </c>
      <c r="BZ417" s="55">
        <v>1315726.92</v>
      </c>
      <c r="CA417" s="63"/>
      <c r="CB417" s="64">
        <v>1071050.3864744699</v>
      </c>
      <c r="CD417" s="163"/>
    </row>
    <row r="418" spans="1:84" x14ac:dyDescent="0.25">
      <c r="A418" s="105">
        <f t="shared" si="130"/>
        <v>398</v>
      </c>
      <c r="B418" s="107">
        <v>199</v>
      </c>
      <c r="C418" s="53" t="s">
        <v>108</v>
      </c>
      <c r="D418" s="53" t="s">
        <v>474</v>
      </c>
      <c r="E418" s="54">
        <v>1973</v>
      </c>
      <c r="F418" s="54">
        <v>2013</v>
      </c>
      <c r="G418" s="54" t="s">
        <v>64</v>
      </c>
      <c r="H418" s="54">
        <v>4</v>
      </c>
      <c r="I418" s="54">
        <v>4</v>
      </c>
      <c r="J418" s="55">
        <v>4671.96</v>
      </c>
      <c r="K418" s="55">
        <v>3446.2</v>
      </c>
      <c r="L418" s="55">
        <v>0</v>
      </c>
      <c r="M418" s="56">
        <v>128</v>
      </c>
      <c r="N418" s="112">
        <f t="shared" si="126"/>
        <v>1528724.7</v>
      </c>
      <c r="O418" s="55"/>
      <c r="P418" s="63">
        <v>167255.67999999999</v>
      </c>
      <c r="Q418" s="63"/>
      <c r="R418" s="63">
        <v>1047518.08</v>
      </c>
      <c r="S418" s="63">
        <v>313950.94</v>
      </c>
      <c r="T418" s="113"/>
      <c r="U418" s="55">
        <v>395.06384423422901</v>
      </c>
      <c r="V418" s="55">
        <v>395.06384423422901</v>
      </c>
      <c r="W418" s="59">
        <v>2023</v>
      </c>
      <c r="X418" s="6" t="e">
        <v>#REF!</v>
      </c>
      <c r="Z418" s="62">
        <f t="shared" ref="Z418:Z428" si="131">SUM(AA418:AO418)</f>
        <v>1550298.52</v>
      </c>
      <c r="AA418" s="55">
        <v>0</v>
      </c>
      <c r="AB418" s="55">
        <v>0</v>
      </c>
      <c r="AC418" s="55">
        <v>0</v>
      </c>
      <c r="AD418" s="55">
        <v>0</v>
      </c>
      <c r="AE418" s="55">
        <v>1350771.93</v>
      </c>
      <c r="AF418" s="55"/>
      <c r="AG418" s="55">
        <v>0</v>
      </c>
      <c r="AH418" s="55">
        <v>0</v>
      </c>
      <c r="AI418" s="55">
        <v>0</v>
      </c>
      <c r="AJ418" s="55">
        <v>0</v>
      </c>
      <c r="AK418" s="55">
        <v>0</v>
      </c>
      <c r="AL418" s="55">
        <v>0</v>
      </c>
      <c r="AM418" s="55">
        <v>183829.5</v>
      </c>
      <c r="AN418" s="63">
        <v>5000</v>
      </c>
      <c r="AO418" s="64">
        <v>10697.09</v>
      </c>
      <c r="AP418" s="61">
        <f>+N418-'Приложение №2'!E418</f>
        <v>0</v>
      </c>
      <c r="AQ418" s="1">
        <f>1641525.43-945519.75</f>
        <v>696005.67999999993</v>
      </c>
      <c r="AR418" s="3">
        <f>+(K418*10+L418*20)*12*0.85</f>
        <v>351512.39999999997</v>
      </c>
      <c r="AS418" s="3">
        <f>+(K418*10+L418*20)*12*30-886414.55</f>
        <v>11519905.449999999</v>
      </c>
      <c r="AT418" s="6">
        <f t="shared" si="127"/>
        <v>-11205954.51</v>
      </c>
      <c r="AU418" s="6" t="e">
        <v>#REF!</v>
      </c>
      <c r="AV418" s="6" t="e">
        <v>#REF!</v>
      </c>
      <c r="AW418" s="62">
        <f t="shared" si="128"/>
        <v>1361469.02</v>
      </c>
      <c r="AX418" s="55">
        <v>0</v>
      </c>
      <c r="AY418" s="55">
        <v>0</v>
      </c>
      <c r="AZ418" s="55">
        <v>0</v>
      </c>
      <c r="BA418" s="55">
        <v>0</v>
      </c>
      <c r="BB418" s="55">
        <v>1350771.93</v>
      </c>
      <c r="BC418" s="55"/>
      <c r="BD418" s="55"/>
      <c r="BE418" s="55">
        <v>0</v>
      </c>
      <c r="BF418" s="55">
        <v>0</v>
      </c>
      <c r="BG418" s="55">
        <v>0</v>
      </c>
      <c r="BH418" s="55">
        <v>0</v>
      </c>
      <c r="BI418" s="55">
        <v>0</v>
      </c>
      <c r="BJ418" s="55"/>
      <c r="BK418" s="63"/>
      <c r="BL418" s="111">
        <v>10697.09</v>
      </c>
      <c r="BM418" s="62">
        <f t="shared" si="129"/>
        <v>1361469.02</v>
      </c>
      <c r="BN418" s="55">
        <v>0</v>
      </c>
      <c r="BO418" s="55">
        <v>0</v>
      </c>
      <c r="BP418" s="55">
        <v>0</v>
      </c>
      <c r="BQ418" s="55">
        <v>0</v>
      </c>
      <c r="BR418" s="55">
        <v>1350771.93</v>
      </c>
      <c r="BS418" s="55"/>
      <c r="BT418" s="55"/>
      <c r="BU418" s="55">
        <v>0</v>
      </c>
      <c r="BV418" s="55">
        <v>0</v>
      </c>
      <c r="BW418" s="55">
        <v>0</v>
      </c>
      <c r="BX418" s="55">
        <v>0</v>
      </c>
      <c r="BY418" s="55">
        <v>0</v>
      </c>
      <c r="BZ418" s="55"/>
      <c r="CA418" s="63"/>
      <c r="CB418" s="64">
        <v>10697.09</v>
      </c>
      <c r="CD418" s="3"/>
    </row>
    <row r="419" spans="1:84" x14ac:dyDescent="0.25">
      <c r="A419" s="105">
        <f t="shared" si="130"/>
        <v>399</v>
      </c>
      <c r="B419" s="107">
        <v>200</v>
      </c>
      <c r="C419" s="53" t="s">
        <v>108</v>
      </c>
      <c r="D419" s="53" t="s">
        <v>163</v>
      </c>
      <c r="E419" s="54">
        <v>1961</v>
      </c>
      <c r="F419" s="54">
        <v>2013</v>
      </c>
      <c r="G419" s="54" t="s">
        <v>64</v>
      </c>
      <c r="H419" s="54">
        <v>4</v>
      </c>
      <c r="I419" s="54">
        <v>3</v>
      </c>
      <c r="J419" s="55">
        <v>3049.5</v>
      </c>
      <c r="K419" s="55">
        <v>2277.6</v>
      </c>
      <c r="L419" s="55">
        <v>771.9</v>
      </c>
      <c r="M419" s="56">
        <v>94</v>
      </c>
      <c r="N419" s="112">
        <f t="shared" si="126"/>
        <v>999507.97090059996</v>
      </c>
      <c r="O419" s="55"/>
      <c r="P419" s="63"/>
      <c r="Q419" s="63"/>
      <c r="R419" s="63">
        <v>999507.97090059996</v>
      </c>
      <c r="S419" s="63"/>
      <c r="T419" s="63"/>
      <c r="U419" s="55">
        <v>520.16350250880498</v>
      </c>
      <c r="V419" s="55">
        <v>520.16350250880498</v>
      </c>
      <c r="W419" s="59">
        <v>2023</v>
      </c>
      <c r="X419" s="6" t="e">
        <v>#REF!</v>
      </c>
      <c r="Z419" s="62">
        <f t="shared" si="131"/>
        <v>13067933.899999999</v>
      </c>
      <c r="AA419" s="55">
        <v>5253036.7368624602</v>
      </c>
      <c r="AB419" s="55">
        <v>1871872.94908698</v>
      </c>
      <c r="AC419" s="55">
        <v>1955690.72273694</v>
      </c>
      <c r="AD419" s="55">
        <v>1224386.0518469999</v>
      </c>
      <c r="AE419" s="55">
        <v>749124.08010090003</v>
      </c>
      <c r="AF419" s="55"/>
      <c r="AG419" s="55">
        <v>201573.40567308001</v>
      </c>
      <c r="AH419" s="55">
        <v>0</v>
      </c>
      <c r="AI419" s="55">
        <v>0</v>
      </c>
      <c r="AJ419" s="55">
        <v>0</v>
      </c>
      <c r="AK419" s="55">
        <v>0</v>
      </c>
      <c r="AL419" s="55">
        <v>0</v>
      </c>
      <c r="AM419" s="55">
        <v>1435431.6033999999</v>
      </c>
      <c r="AN419" s="63">
        <v>130679.33900000001</v>
      </c>
      <c r="AO419" s="64">
        <v>246139.01129264</v>
      </c>
      <c r="AP419" s="61">
        <f>+N419-'Приложение №2'!E419</f>
        <v>0</v>
      </c>
      <c r="AQ419" s="6">
        <f>1647685.87-R104</f>
        <v>1542119.52</v>
      </c>
      <c r="AR419" s="3">
        <f>+(K419*10+L419*20)*12*0.85</f>
        <v>389782.8</v>
      </c>
      <c r="AS419" s="3">
        <f>+(K419*10+L419*20)*12*30-S104</f>
        <v>12760046.104623919</v>
      </c>
      <c r="AT419" s="6">
        <f t="shared" si="127"/>
        <v>-12760046.104623919</v>
      </c>
      <c r="AU419" s="6" t="e">
        <v>#REF!</v>
      </c>
      <c r="AV419" s="6" t="e">
        <v>#REF!</v>
      </c>
      <c r="AW419" s="62">
        <f t="shared" si="128"/>
        <v>1586238.6009006</v>
      </c>
      <c r="AX419" s="55"/>
      <c r="AY419" s="55">
        <v>1524520.14</v>
      </c>
      <c r="AZ419" s="55"/>
      <c r="BA419" s="55"/>
      <c r="BB419" s="55"/>
      <c r="BC419" s="55"/>
      <c r="BD419" s="55"/>
      <c r="BE419" s="55">
        <v>0</v>
      </c>
      <c r="BF419" s="55">
        <v>0</v>
      </c>
      <c r="BG419" s="55">
        <v>0</v>
      </c>
      <c r="BH419" s="55">
        <v>0</v>
      </c>
      <c r="BI419" s="55">
        <v>0</v>
      </c>
      <c r="BJ419" s="55"/>
      <c r="BK419" s="63"/>
      <c r="BL419" s="111">
        <v>61718.460900600003</v>
      </c>
      <c r="BM419" s="62">
        <f t="shared" si="129"/>
        <v>1586238.6009006</v>
      </c>
      <c r="BN419" s="55"/>
      <c r="BO419" s="55">
        <v>1524520.14</v>
      </c>
      <c r="BP419" s="55"/>
      <c r="BQ419" s="55"/>
      <c r="BR419" s="55"/>
      <c r="BS419" s="55"/>
      <c r="BT419" s="55"/>
      <c r="BU419" s="55">
        <v>0</v>
      </c>
      <c r="BV419" s="55">
        <v>0</v>
      </c>
      <c r="BW419" s="55">
        <v>0</v>
      </c>
      <c r="BX419" s="55">
        <v>0</v>
      </c>
      <c r="BY419" s="55">
        <v>0</v>
      </c>
      <c r="BZ419" s="55"/>
      <c r="CA419" s="63"/>
      <c r="CB419" s="64">
        <v>61718.460900600003</v>
      </c>
      <c r="CD419" s="163"/>
    </row>
    <row r="420" spans="1:84" x14ac:dyDescent="0.25">
      <c r="A420" s="105">
        <f t="shared" si="130"/>
        <v>400</v>
      </c>
      <c r="B420" s="107">
        <v>201</v>
      </c>
      <c r="C420" s="53" t="s">
        <v>108</v>
      </c>
      <c r="D420" s="53" t="s">
        <v>475</v>
      </c>
      <c r="E420" s="54">
        <v>1981</v>
      </c>
      <c r="F420" s="54">
        <v>2013</v>
      </c>
      <c r="G420" s="54" t="s">
        <v>64</v>
      </c>
      <c r="H420" s="54">
        <v>5</v>
      </c>
      <c r="I420" s="54">
        <v>4</v>
      </c>
      <c r="J420" s="55">
        <v>4887.3</v>
      </c>
      <c r="K420" s="55">
        <v>4312.8999999999996</v>
      </c>
      <c r="L420" s="55">
        <v>0</v>
      </c>
      <c r="M420" s="56">
        <v>194</v>
      </c>
      <c r="N420" s="112">
        <f t="shared" si="126"/>
        <v>2114151.1245428799</v>
      </c>
      <c r="O420" s="55"/>
      <c r="P420" s="63">
        <v>879840.35</v>
      </c>
      <c r="Q420" s="63"/>
      <c r="R420" s="63"/>
      <c r="S420" s="63">
        <v>1082550.0255428799</v>
      </c>
      <c r="T420" s="63">
        <v>151760.74900000001</v>
      </c>
      <c r="U420" s="63">
        <v>3451.6655578712398</v>
      </c>
      <c r="V420" s="63">
        <v>3451.6655578712398</v>
      </c>
      <c r="W420" s="59">
        <v>2023</v>
      </c>
      <c r="X420" s="6" t="e">
        <v>#REF!</v>
      </c>
      <c r="Z420" s="62">
        <f t="shared" si="131"/>
        <v>78714458.099999979</v>
      </c>
      <c r="AA420" s="55">
        <v>7207971.2584861796</v>
      </c>
      <c r="AB420" s="55">
        <v>4168566.8282412002</v>
      </c>
      <c r="AC420" s="55">
        <v>4406483.7908326201</v>
      </c>
      <c r="AD420" s="55">
        <v>3359981.3480309998</v>
      </c>
      <c r="AE420" s="55">
        <v>1342243.77142212</v>
      </c>
      <c r="AF420" s="55"/>
      <c r="AG420" s="55">
        <v>358162.19323500001</v>
      </c>
      <c r="AH420" s="55">
        <v>0</v>
      </c>
      <c r="AI420" s="55">
        <v>12831286.273936201</v>
      </c>
      <c r="AJ420" s="55">
        <v>0</v>
      </c>
      <c r="AK420" s="55">
        <v>24912015.084657099</v>
      </c>
      <c r="AL420" s="55">
        <v>9797576.0184224993</v>
      </c>
      <c r="AM420" s="55">
        <v>8047601.1061000004</v>
      </c>
      <c r="AN420" s="63">
        <v>787144.58100000001</v>
      </c>
      <c r="AO420" s="64">
        <v>1495425.84563606</v>
      </c>
      <c r="AP420" s="61">
        <f>+N420-'Приложение №2'!E420</f>
        <v>0</v>
      </c>
      <c r="AQ420" s="1">
        <v>1978942.68</v>
      </c>
      <c r="AR420" s="3">
        <f>+(K420*10+L420*20)*12*0.85</f>
        <v>439915.8</v>
      </c>
      <c r="AS420" s="3">
        <f>+(K420*10+L420*20)*12*30</f>
        <v>15526440</v>
      </c>
      <c r="AT420" s="6">
        <f t="shared" si="127"/>
        <v>-14443889.974457121</v>
      </c>
      <c r="AU420" s="6" t="e">
        <v>#REF!</v>
      </c>
      <c r="AV420" s="6" t="e">
        <v>#REF!</v>
      </c>
      <c r="AW420" s="62">
        <f t="shared" si="128"/>
        <v>14886688.384542881</v>
      </c>
      <c r="AX420" s="55"/>
      <c r="AY420" s="55"/>
      <c r="AZ420" s="55"/>
      <c r="BA420" s="55"/>
      <c r="BB420" s="55"/>
      <c r="BC420" s="55"/>
      <c r="BD420" s="55"/>
      <c r="BE420" s="55"/>
      <c r="BF420" s="55"/>
      <c r="BG420" s="55">
        <v>0</v>
      </c>
      <c r="BH420" s="55">
        <v>14156807.720000001</v>
      </c>
      <c r="BI420" s="55"/>
      <c r="BJ420" s="55">
        <v>185105.35</v>
      </c>
      <c r="BK420" s="63"/>
      <c r="BL420" s="111">
        <v>544775.31454288005</v>
      </c>
      <c r="BM420" s="62">
        <f t="shared" si="129"/>
        <v>14886688.384542881</v>
      </c>
      <c r="BN420" s="55"/>
      <c r="BO420" s="55"/>
      <c r="BP420" s="55"/>
      <c r="BQ420" s="55"/>
      <c r="BR420" s="55"/>
      <c r="BS420" s="55"/>
      <c r="BT420" s="55"/>
      <c r="BU420" s="55"/>
      <c r="BV420" s="55"/>
      <c r="BW420" s="55">
        <v>0</v>
      </c>
      <c r="BX420" s="55">
        <v>14156807.720000001</v>
      </c>
      <c r="BY420" s="55"/>
      <c r="BZ420" s="55">
        <v>185105.35</v>
      </c>
      <c r="CA420" s="63"/>
      <c r="CB420" s="64">
        <v>544775.31454288005</v>
      </c>
      <c r="CD420" s="164"/>
      <c r="CE420" s="3"/>
    </row>
    <row r="421" spans="1:84" x14ac:dyDescent="0.25">
      <c r="A421" s="105">
        <f t="shared" si="130"/>
        <v>401</v>
      </c>
      <c r="B421" s="107">
        <v>202</v>
      </c>
      <c r="C421" s="53" t="s">
        <v>108</v>
      </c>
      <c r="D421" s="53" t="s">
        <v>165</v>
      </c>
      <c r="E421" s="54">
        <v>1965</v>
      </c>
      <c r="F421" s="54">
        <v>2005</v>
      </c>
      <c r="G421" s="54" t="s">
        <v>64</v>
      </c>
      <c r="H421" s="54">
        <v>4</v>
      </c>
      <c r="I421" s="54">
        <v>4</v>
      </c>
      <c r="J421" s="55">
        <v>2661.8</v>
      </c>
      <c r="K421" s="55">
        <v>2220.4</v>
      </c>
      <c r="L421" s="55">
        <v>229.71</v>
      </c>
      <c r="M421" s="56">
        <v>111</v>
      </c>
      <c r="N421" s="112">
        <f t="shared" si="126"/>
        <v>22323924.05786258</v>
      </c>
      <c r="O421" s="55"/>
      <c r="P421" s="63">
        <v>12718221.48</v>
      </c>
      <c r="Q421" s="63"/>
      <c r="R421" s="63"/>
      <c r="S421" s="63">
        <v>8042840.0518625798</v>
      </c>
      <c r="T421" s="63">
        <v>1562862.5260000001</v>
      </c>
      <c r="U421" s="63">
        <v>13550.1210021515</v>
      </c>
      <c r="V421" s="63">
        <v>1309.2830200640001</v>
      </c>
      <c r="W421" s="59">
        <v>2023</v>
      </c>
      <c r="X421" s="6" t="e">
        <v>#REF!</v>
      </c>
      <c r="Z421" s="62">
        <f t="shared" si="131"/>
        <v>26489548.390000001</v>
      </c>
      <c r="AA421" s="55">
        <v>5804794.2058142396</v>
      </c>
      <c r="AB421" s="55">
        <v>2068486.8169081199</v>
      </c>
      <c r="AC421" s="55">
        <v>2161108.4722953602</v>
      </c>
      <c r="AD421" s="55">
        <v>1352990.5470060001</v>
      </c>
      <c r="AE421" s="55">
        <v>827809.00358814001</v>
      </c>
      <c r="AF421" s="55"/>
      <c r="AG421" s="55">
        <v>222745.84764851999</v>
      </c>
      <c r="AH421" s="55">
        <v>0</v>
      </c>
      <c r="AI421" s="55">
        <v>10612047.031450201</v>
      </c>
      <c r="AJ421" s="55">
        <v>0</v>
      </c>
      <c r="AK421" s="55">
        <v>0</v>
      </c>
      <c r="AL421" s="55">
        <v>0</v>
      </c>
      <c r="AM421" s="55">
        <v>2670614.5608000001</v>
      </c>
      <c r="AN421" s="63">
        <v>264895.48389999999</v>
      </c>
      <c r="AO421" s="64">
        <v>504056.42058942001</v>
      </c>
      <c r="AP421" s="61">
        <f>+N421-'Приложение №2'!E421</f>
        <v>0</v>
      </c>
      <c r="AQ421" s="6">
        <f>1589432.29-R106</f>
        <v>-28684.905640000012</v>
      </c>
      <c r="AR421" s="3">
        <f>+(K421*10.5+L421*21)*12*0.85</f>
        <v>287008.72200000001</v>
      </c>
      <c r="AS421" s="3">
        <f>+(K421*10.5+L421*21)*12*30</f>
        <v>10129719.6</v>
      </c>
      <c r="AT421" s="6">
        <f t="shared" si="127"/>
        <v>-2086879.5481374199</v>
      </c>
      <c r="AU421" s="6" t="e">
        <v>#REF!</v>
      </c>
      <c r="AV421" s="6" t="e">
        <v>#REF!</v>
      </c>
      <c r="AW421" s="110">
        <f t="shared" si="128"/>
        <v>30086688.673177112</v>
      </c>
      <c r="AX421" s="55">
        <v>5849711.7173237596</v>
      </c>
      <c r="AY421" s="55"/>
      <c r="AZ421" s="55">
        <v>2177830.17797015</v>
      </c>
      <c r="BA421" s="55"/>
      <c r="BB421" s="55"/>
      <c r="BC421" s="55"/>
      <c r="BD421" s="55">
        <v>224457.78122599801</v>
      </c>
      <c r="BE421" s="55">
        <v>0</v>
      </c>
      <c r="BF421" s="55">
        <v>10694143.905129099</v>
      </c>
      <c r="BG421" s="55">
        <v>0</v>
      </c>
      <c r="BH421" s="55"/>
      <c r="BI421" s="55">
        <v>5988963.4812416798</v>
      </c>
      <c r="BJ421" s="55">
        <v>3718496.5709544001</v>
      </c>
      <c r="BK421" s="63">
        <v>411105.06146944402</v>
      </c>
      <c r="BL421" s="111">
        <v>1021979.97786258</v>
      </c>
      <c r="BM421" s="110">
        <f t="shared" si="129"/>
        <v>30086688.673177112</v>
      </c>
      <c r="BN421" s="55">
        <v>5849711.7173237596</v>
      </c>
      <c r="BO421" s="55"/>
      <c r="BP421" s="55">
        <v>2177830.17797015</v>
      </c>
      <c r="BQ421" s="55"/>
      <c r="BR421" s="55"/>
      <c r="BS421" s="55"/>
      <c r="BT421" s="55">
        <v>224457.78122599801</v>
      </c>
      <c r="BU421" s="55">
        <v>0</v>
      </c>
      <c r="BV421" s="55">
        <v>10694143.905129099</v>
      </c>
      <c r="BW421" s="55">
        <v>0</v>
      </c>
      <c r="BX421" s="55"/>
      <c r="BY421" s="55">
        <v>5988963.4812416798</v>
      </c>
      <c r="BZ421" s="55">
        <v>3718496.5709544001</v>
      </c>
      <c r="CA421" s="63">
        <v>411105.06146944402</v>
      </c>
      <c r="CB421" s="64">
        <v>1021979.97786258</v>
      </c>
      <c r="CD421" s="164"/>
      <c r="CE421" s="3"/>
    </row>
    <row r="422" spans="1:84" x14ac:dyDescent="0.25">
      <c r="A422" s="105">
        <f t="shared" si="130"/>
        <v>402</v>
      </c>
      <c r="B422" s="107">
        <v>203</v>
      </c>
      <c r="C422" s="53" t="s">
        <v>108</v>
      </c>
      <c r="D422" s="53" t="s">
        <v>476</v>
      </c>
      <c r="E422" s="54">
        <v>1978</v>
      </c>
      <c r="F422" s="54">
        <v>2013</v>
      </c>
      <c r="G422" s="54" t="s">
        <v>64</v>
      </c>
      <c r="H422" s="54">
        <v>4</v>
      </c>
      <c r="I422" s="54">
        <v>4</v>
      </c>
      <c r="J422" s="55">
        <v>3896.3</v>
      </c>
      <c r="K422" s="55">
        <v>3202.2</v>
      </c>
      <c r="L422" s="55">
        <v>496.4</v>
      </c>
      <c r="M422" s="56">
        <v>146</v>
      </c>
      <c r="N422" s="112">
        <f t="shared" si="126"/>
        <v>6757893.4491052404</v>
      </c>
      <c r="O422" s="55"/>
      <c r="P422" s="63">
        <v>402860.24</v>
      </c>
      <c r="Q422" s="63"/>
      <c r="R422" s="63">
        <v>1657909.72910524</v>
      </c>
      <c r="S422" s="63">
        <v>4697123.4800000004</v>
      </c>
      <c r="T422" s="63"/>
      <c r="U422" s="63">
        <v>2403.8148959385999</v>
      </c>
      <c r="V422" s="63">
        <v>1310.2830200640001</v>
      </c>
      <c r="W422" s="59">
        <v>2023</v>
      </c>
      <c r="X422" s="6" t="e">
        <v>#REF!</v>
      </c>
      <c r="Z422" s="62">
        <f t="shared" si="131"/>
        <v>7985643.3799999999</v>
      </c>
      <c r="AA422" s="55">
        <v>5709280.8574947603</v>
      </c>
      <c r="AB422" s="55">
        <v>0</v>
      </c>
      <c r="AC422" s="55">
        <v>0</v>
      </c>
      <c r="AD422" s="55">
        <v>0</v>
      </c>
      <c r="AE422" s="55">
        <v>1063162.7663680799</v>
      </c>
      <c r="AF422" s="55"/>
      <c r="AG422" s="55">
        <v>0</v>
      </c>
      <c r="AH422" s="55">
        <v>0</v>
      </c>
      <c r="AI422" s="55">
        <v>0</v>
      </c>
      <c r="AJ422" s="55">
        <v>0</v>
      </c>
      <c r="AK422" s="55">
        <v>0</v>
      </c>
      <c r="AL422" s="55">
        <v>0</v>
      </c>
      <c r="AM422" s="55">
        <v>985243.69680000003</v>
      </c>
      <c r="AN422" s="63">
        <v>79856.433799999999</v>
      </c>
      <c r="AO422" s="64">
        <v>148099.62553716</v>
      </c>
      <c r="AP422" s="61">
        <f>+N422-'Приложение №2'!E422</f>
        <v>0</v>
      </c>
      <c r="AQ422" s="1">
        <f>2160865.59-103210.2</f>
        <v>2057655.39</v>
      </c>
      <c r="AR422" s="3">
        <f>+(K422*10.5+L422*21)*12*0.85</f>
        <v>449284.5</v>
      </c>
      <c r="AS422" s="3">
        <f>+(K422*10.5+L422*21)*12*30</f>
        <v>15857100</v>
      </c>
      <c r="AT422" s="6">
        <f t="shared" si="127"/>
        <v>-11159976.52</v>
      </c>
      <c r="AU422" s="6" t="e">
        <v>#REF!</v>
      </c>
      <c r="AV422" s="6" t="e">
        <v>#REF!</v>
      </c>
      <c r="AW422" s="110">
        <f t="shared" si="128"/>
        <v>7697496.0597745804</v>
      </c>
      <c r="AX422" s="55">
        <v>6682552.1900000004</v>
      </c>
      <c r="AY422" s="55">
        <v>0</v>
      </c>
      <c r="AZ422" s="55">
        <v>0</v>
      </c>
      <c r="BA422" s="55">
        <v>0</v>
      </c>
      <c r="BB422" s="55">
        <v>0</v>
      </c>
      <c r="BC422" s="55"/>
      <c r="BD422" s="55">
        <v>313091.46726934001</v>
      </c>
      <c r="BE422" s="55">
        <v>0</v>
      </c>
      <c r="BF422" s="55">
        <v>0</v>
      </c>
      <c r="BG422" s="55">
        <v>0</v>
      </c>
      <c r="BH422" s="55">
        <v>0</v>
      </c>
      <c r="BI422" s="55">
        <v>0</v>
      </c>
      <c r="BJ422" s="55">
        <v>512890.66080000001</v>
      </c>
      <c r="BK422" s="63">
        <v>64111.332600000002</v>
      </c>
      <c r="BL422" s="111">
        <v>124850.40910524</v>
      </c>
      <c r="BM422" s="110">
        <f t="shared" si="129"/>
        <v>7697496.0597745804</v>
      </c>
      <c r="BN422" s="55">
        <v>6682552.1900000004</v>
      </c>
      <c r="BO422" s="55">
        <v>0</v>
      </c>
      <c r="BP422" s="55">
        <v>0</v>
      </c>
      <c r="BQ422" s="55">
        <v>0</v>
      </c>
      <c r="BR422" s="55">
        <v>0</v>
      </c>
      <c r="BS422" s="55"/>
      <c r="BT422" s="55">
        <v>313091.46726934001</v>
      </c>
      <c r="BU422" s="55">
        <v>0</v>
      </c>
      <c r="BV422" s="55">
        <v>0</v>
      </c>
      <c r="BW422" s="55">
        <v>0</v>
      </c>
      <c r="BX422" s="55">
        <v>0</v>
      </c>
      <c r="BY422" s="55">
        <v>0</v>
      </c>
      <c r="BZ422" s="55">
        <v>512890.66080000001</v>
      </c>
      <c r="CA422" s="63">
        <v>64111.332600000002</v>
      </c>
      <c r="CB422" s="64">
        <v>124850.40910524</v>
      </c>
      <c r="CD422" s="164"/>
      <c r="CE422" s="3"/>
    </row>
    <row r="423" spans="1:84" x14ac:dyDescent="0.25">
      <c r="A423" s="105">
        <f t="shared" si="130"/>
        <v>403</v>
      </c>
      <c r="B423" s="107" t="s">
        <v>455</v>
      </c>
      <c r="C423" s="53" t="s">
        <v>108</v>
      </c>
      <c r="D423" s="53" t="s">
        <v>167</v>
      </c>
      <c r="E423" s="54">
        <v>1992</v>
      </c>
      <c r="F423" s="54">
        <v>2013</v>
      </c>
      <c r="G423" s="54" t="s">
        <v>64</v>
      </c>
      <c r="H423" s="54">
        <v>5</v>
      </c>
      <c r="I423" s="54">
        <v>4</v>
      </c>
      <c r="J423" s="55">
        <v>5274.7</v>
      </c>
      <c r="K423" s="55">
        <v>4397.95</v>
      </c>
      <c r="L423" s="55">
        <v>82.7</v>
      </c>
      <c r="M423" s="56">
        <v>351</v>
      </c>
      <c r="N423" s="112">
        <f t="shared" si="126"/>
        <v>4237476.6128470805</v>
      </c>
      <c r="O423" s="55"/>
      <c r="P423" s="63">
        <v>1672886.91</v>
      </c>
      <c r="Q423" s="63"/>
      <c r="R423" s="63">
        <v>785754.05</v>
      </c>
      <c r="S423" s="63">
        <v>1778835.65284708</v>
      </c>
      <c r="T423" s="63"/>
      <c r="U423" s="63">
        <v>2328.4211069481198</v>
      </c>
      <c r="V423" s="63">
        <v>2328.4211069481198</v>
      </c>
      <c r="W423" s="59">
        <v>2023</v>
      </c>
      <c r="X423" s="6" t="e">
        <v>#REF!</v>
      </c>
      <c r="Z423" s="62">
        <f t="shared" si="131"/>
        <v>73758689.840000004</v>
      </c>
      <c r="AA423" s="55">
        <v>6929151.7355478602</v>
      </c>
      <c r="AB423" s="55">
        <v>4007317.87339926</v>
      </c>
      <c r="AC423" s="55">
        <v>4236031.7089398</v>
      </c>
      <c r="AD423" s="55">
        <v>3230010.1851276001</v>
      </c>
      <c r="AE423" s="55">
        <v>0</v>
      </c>
      <c r="AF423" s="55"/>
      <c r="AG423" s="55">
        <v>344307.72949692002</v>
      </c>
      <c r="AH423" s="55">
        <v>0</v>
      </c>
      <c r="AI423" s="55">
        <v>12334945.070788199</v>
      </c>
      <c r="AJ423" s="55">
        <v>0</v>
      </c>
      <c r="AK423" s="55">
        <v>23948365.8336569</v>
      </c>
      <c r="AL423" s="55">
        <v>9418585.1320217997</v>
      </c>
      <c r="AM423" s="55">
        <v>7163024.8004000001</v>
      </c>
      <c r="AN423" s="63">
        <v>737586.89839999995</v>
      </c>
      <c r="AO423" s="64">
        <v>1409362.8722216799</v>
      </c>
      <c r="AP423" s="61">
        <f>+N423-'Приложение №2'!E405</f>
        <v>-4095700.8048167191</v>
      </c>
      <c r="AQ423" s="6">
        <f>1987606.27-R220</f>
        <v>-153147.18999999994</v>
      </c>
      <c r="AR423" s="3">
        <f t="shared" ref="AR423:AR431" si="132">+(K423*10+L423*20)*12*0.85</f>
        <v>465461.7</v>
      </c>
      <c r="AS423" s="3">
        <f>+(K423*10+L423*20)*12*30-S220</f>
        <v>13448441.541065261</v>
      </c>
      <c r="AT423" s="6">
        <f t="shared" si="127"/>
        <v>-11669605.888218181</v>
      </c>
      <c r="AU423" s="6" t="e">
        <v>#REF!</v>
      </c>
      <c r="AV423" s="6" t="e">
        <v>#REF!</v>
      </c>
      <c r="AW423" s="62">
        <f t="shared" si="128"/>
        <v>11699117.62284708</v>
      </c>
      <c r="AX423" s="55">
        <v>6146198.4400000004</v>
      </c>
      <c r="AY423" s="55">
        <v>3984439.31</v>
      </c>
      <c r="AZ423" s="55"/>
      <c r="BA423" s="55"/>
      <c r="BB423" s="55"/>
      <c r="BC423" s="55"/>
      <c r="BD423" s="55"/>
      <c r="BE423" s="55"/>
      <c r="BF423" s="55"/>
      <c r="BG423" s="55"/>
      <c r="BH423" s="55"/>
      <c r="BI423" s="55"/>
      <c r="BJ423" s="55"/>
      <c r="BK423" s="63"/>
      <c r="BL423" s="111">
        <v>1568479.87284708</v>
      </c>
      <c r="BM423" s="62">
        <f t="shared" si="129"/>
        <v>10432840.03284708</v>
      </c>
      <c r="BN423" s="55">
        <v>4879920.8499999996</v>
      </c>
      <c r="BO423" s="55">
        <v>3984439.31</v>
      </c>
      <c r="BP423" s="55"/>
      <c r="BQ423" s="55"/>
      <c r="BR423" s="55"/>
      <c r="BS423" s="55"/>
      <c r="BT423" s="55"/>
      <c r="BU423" s="55"/>
      <c r="BV423" s="55"/>
      <c r="BW423" s="55"/>
      <c r="BX423" s="55"/>
      <c r="BY423" s="55"/>
      <c r="BZ423" s="55"/>
      <c r="CA423" s="63"/>
      <c r="CB423" s="64">
        <v>1568479.87284708</v>
      </c>
      <c r="CD423"/>
    </row>
    <row r="424" spans="1:84" x14ac:dyDescent="0.25">
      <c r="A424" s="105">
        <f t="shared" si="130"/>
        <v>404</v>
      </c>
      <c r="B424" s="107" t="s">
        <v>455</v>
      </c>
      <c r="C424" s="53" t="s">
        <v>108</v>
      </c>
      <c r="D424" s="53" t="s">
        <v>168</v>
      </c>
      <c r="E424" s="54">
        <v>1987</v>
      </c>
      <c r="F424" s="54">
        <v>1987</v>
      </c>
      <c r="G424" s="54" t="s">
        <v>64</v>
      </c>
      <c r="H424" s="54">
        <v>5</v>
      </c>
      <c r="I424" s="54">
        <v>3</v>
      </c>
      <c r="J424" s="55">
        <v>5170.7</v>
      </c>
      <c r="K424" s="55">
        <v>2871.7</v>
      </c>
      <c r="L424" s="55">
        <v>2299</v>
      </c>
      <c r="M424" s="56">
        <v>334</v>
      </c>
      <c r="N424" s="112">
        <f t="shared" si="126"/>
        <v>5406353.6469089193</v>
      </c>
      <c r="O424" s="63"/>
      <c r="P424" s="63">
        <v>397766.39</v>
      </c>
      <c r="Q424" s="63"/>
      <c r="R424" s="63">
        <v>327890.78000000003</v>
      </c>
      <c r="S424" s="63">
        <v>4218624.3249089196</v>
      </c>
      <c r="T424" s="63">
        <v>462072.152</v>
      </c>
      <c r="U424" s="63">
        <v>2143.11037672055</v>
      </c>
      <c r="V424" s="63">
        <v>2143.11037672055</v>
      </c>
      <c r="W424" s="59">
        <v>2023</v>
      </c>
      <c r="X424" s="6" t="e">
        <v>#REF!</v>
      </c>
      <c r="Z424" s="62">
        <f t="shared" si="131"/>
        <v>44376055.650000006</v>
      </c>
      <c r="AA424" s="55">
        <v>6705846.8643129598</v>
      </c>
      <c r="AB424" s="55">
        <v>2389568.92118868</v>
      </c>
      <c r="AC424" s="55">
        <v>2496567.8323118398</v>
      </c>
      <c r="AD424" s="55">
        <v>1563009.3139332</v>
      </c>
      <c r="AE424" s="55">
        <v>0</v>
      </c>
      <c r="AF424" s="55"/>
      <c r="AG424" s="55">
        <v>257321.70331308001</v>
      </c>
      <c r="AH424" s="55">
        <v>0</v>
      </c>
      <c r="AI424" s="55">
        <v>12259308.387853799</v>
      </c>
      <c r="AJ424" s="55">
        <v>0</v>
      </c>
      <c r="AK424" s="55">
        <v>6365089.67499342</v>
      </c>
      <c r="AL424" s="55">
        <v>6865494.2663706001</v>
      </c>
      <c r="AM424" s="55">
        <v>4179375.6532000001</v>
      </c>
      <c r="AN424" s="63">
        <v>443760.55650000001</v>
      </c>
      <c r="AO424" s="64">
        <v>850712.47602241999</v>
      </c>
      <c r="AP424" s="61">
        <f>+N424-'Приложение №2'!E409</f>
        <v>-24962484.807724781</v>
      </c>
      <c r="AQ424" s="6">
        <f>2578731.31-R390</f>
        <v>-4476615.01</v>
      </c>
      <c r="AR424" s="3">
        <f t="shared" si="132"/>
        <v>761909.4</v>
      </c>
      <c r="AS424" s="3">
        <f>+(K424*10+L424*20)*12*30-S390</f>
        <v>19787021.885726511</v>
      </c>
      <c r="AT424" s="6">
        <f t="shared" si="127"/>
        <v>-15568397.560817592</v>
      </c>
      <c r="AU424" s="6" t="e">
        <v>#REF!</v>
      </c>
      <c r="AV424" s="6" t="e">
        <v>#REF!</v>
      </c>
      <c r="AW424" s="62">
        <f t="shared" si="128"/>
        <v>11081380.824908921</v>
      </c>
      <c r="AX424" s="55">
        <v>5873059.1900000004</v>
      </c>
      <c r="AY424" s="55">
        <v>2875942.18</v>
      </c>
      <c r="AZ424" s="55"/>
      <c r="BA424" s="55">
        <v>1546747.33</v>
      </c>
      <c r="BB424" s="55"/>
      <c r="BC424" s="55"/>
      <c r="BD424" s="55"/>
      <c r="BE424" s="55"/>
      <c r="BF424" s="55"/>
      <c r="BG424" s="55"/>
      <c r="BH424" s="55"/>
      <c r="BI424" s="55"/>
      <c r="BJ424" s="55"/>
      <c r="BK424" s="63"/>
      <c r="BL424" s="111">
        <v>785632.12490892003</v>
      </c>
      <c r="BM424" s="62">
        <f t="shared" si="129"/>
        <v>11081380.824908921</v>
      </c>
      <c r="BN424" s="55">
        <v>5873059.1900000004</v>
      </c>
      <c r="BO424" s="55">
        <v>2875942.18</v>
      </c>
      <c r="BP424" s="55"/>
      <c r="BQ424" s="55">
        <v>1546747.33</v>
      </c>
      <c r="BR424" s="55"/>
      <c r="BS424" s="55"/>
      <c r="BT424" s="55"/>
      <c r="BU424" s="55"/>
      <c r="BV424" s="55"/>
      <c r="BW424" s="55"/>
      <c r="BX424" s="55"/>
      <c r="BY424" s="55"/>
      <c r="BZ424" s="55"/>
      <c r="CA424" s="63"/>
      <c r="CB424" s="64">
        <v>785632.12490892003</v>
      </c>
      <c r="CD424" s="163"/>
      <c r="CE424"/>
    </row>
    <row r="425" spans="1:84" x14ac:dyDescent="0.25">
      <c r="A425" s="105">
        <f t="shared" si="130"/>
        <v>405</v>
      </c>
      <c r="B425" s="107" t="s">
        <v>455</v>
      </c>
      <c r="C425" s="107" t="s">
        <v>108</v>
      </c>
      <c r="D425" s="107" t="s">
        <v>365</v>
      </c>
      <c r="E425" s="54">
        <v>1968</v>
      </c>
      <c r="F425" s="54">
        <v>2013</v>
      </c>
      <c r="G425" s="54" t="s">
        <v>64</v>
      </c>
      <c r="H425" s="54">
        <v>4</v>
      </c>
      <c r="I425" s="54">
        <v>4</v>
      </c>
      <c r="J425" s="55">
        <v>2683.3</v>
      </c>
      <c r="K425" s="55">
        <v>2455</v>
      </c>
      <c r="L425" s="55">
        <v>0</v>
      </c>
      <c r="M425" s="56">
        <v>116</v>
      </c>
      <c r="N425" s="108">
        <f t="shared" si="126"/>
        <v>2006460.0392457601</v>
      </c>
      <c r="O425" s="63"/>
      <c r="P425" s="63"/>
      <c r="Q425" s="63"/>
      <c r="R425" s="63">
        <v>208409.60000000001</v>
      </c>
      <c r="S425" s="55">
        <v>1654552.34024576</v>
      </c>
      <c r="T425" s="55">
        <v>143498.09899999999</v>
      </c>
      <c r="U425" s="55">
        <v>10413.6714172969</v>
      </c>
      <c r="V425" s="55">
        <v>10413.6714172969</v>
      </c>
      <c r="W425" s="59">
        <v>2023</v>
      </c>
      <c r="X425" s="6" t="e">
        <v>#REF!</v>
      </c>
      <c r="Z425" s="62">
        <f t="shared" si="131"/>
        <v>26448146.579999998</v>
      </c>
      <c r="AA425" s="55">
        <v>5795721.6070735799</v>
      </c>
      <c r="AB425" s="55">
        <v>2065253.8792078199</v>
      </c>
      <c r="AC425" s="55">
        <v>2157730.7733307201</v>
      </c>
      <c r="AD425" s="55">
        <v>1350875.8939846801</v>
      </c>
      <c r="AE425" s="55">
        <v>826515.18096839997</v>
      </c>
      <c r="AF425" s="55"/>
      <c r="AG425" s="55">
        <v>222397.71089424001</v>
      </c>
      <c r="AH425" s="55">
        <v>0</v>
      </c>
      <c r="AI425" s="55">
        <v>10595460.935770201</v>
      </c>
      <c r="AJ425" s="55">
        <v>0</v>
      </c>
      <c r="AK425" s="55">
        <v>0</v>
      </c>
      <c r="AL425" s="55">
        <v>0</v>
      </c>
      <c r="AM425" s="55">
        <v>2666440.5268000001</v>
      </c>
      <c r="AN425" s="63">
        <v>264481.46580000001</v>
      </c>
      <c r="AO425" s="64">
        <v>503268.60617036</v>
      </c>
      <c r="AP425" s="61">
        <f>+N425-'Приложение №2'!E425</f>
        <v>0</v>
      </c>
      <c r="AQ425" s="1">
        <f>1035919.14-96406.2</f>
        <v>939512.94000000006</v>
      </c>
      <c r="AR425" s="3">
        <f t="shared" si="132"/>
        <v>250410</v>
      </c>
      <c r="AS425" s="3">
        <f>+(K425*10+L425*20)*12*30</f>
        <v>8838000</v>
      </c>
      <c r="AT425" s="6">
        <f t="shared" si="127"/>
        <v>-7183447.65975424</v>
      </c>
      <c r="AU425" s="6" t="e">
        <v>#REF!</v>
      </c>
      <c r="AV425" s="6" t="e">
        <v>#REF!</v>
      </c>
      <c r="AW425" s="62">
        <f t="shared" si="128"/>
        <v>25478711.007879999</v>
      </c>
      <c r="AX425" s="55">
        <v>6334618.4835360004</v>
      </c>
      <c r="AY425" s="55">
        <v>2285255.0308980001</v>
      </c>
      <c r="AZ425" s="55">
        <v>2421941.33</v>
      </c>
      <c r="BA425" s="55">
        <v>1543119.658416</v>
      </c>
      <c r="BB425" s="55"/>
      <c r="BC425" s="55"/>
      <c r="BD425" s="55">
        <v>222397.71089424001</v>
      </c>
      <c r="BE425" s="55">
        <v>0</v>
      </c>
      <c r="BF425" s="55">
        <v>11696963.74329</v>
      </c>
      <c r="BG425" s="55">
        <v>0</v>
      </c>
      <c r="BH425" s="55">
        <v>0</v>
      </c>
      <c r="BI425" s="55"/>
      <c r="BJ425" s="55">
        <v>388642.91080000001</v>
      </c>
      <c r="BK425" s="63">
        <v>50318.9908</v>
      </c>
      <c r="BL425" s="111">
        <v>535453.14924576005</v>
      </c>
      <c r="BM425" s="62">
        <f t="shared" si="129"/>
        <v>21165662.406174</v>
      </c>
      <c r="BN425" s="55">
        <v>6334618.4835360004</v>
      </c>
      <c r="BO425" s="55">
        <v>2285255.0308980001</v>
      </c>
      <c r="BP425" s="55">
        <v>2421941.33</v>
      </c>
      <c r="BQ425" s="55">
        <v>1626971.98</v>
      </c>
      <c r="BR425" s="55"/>
      <c r="BS425" s="55"/>
      <c r="BT425" s="55">
        <v>222397.71089424001</v>
      </c>
      <c r="BU425" s="55">
        <v>0</v>
      </c>
      <c r="BV425" s="55">
        <v>7300062.8200000003</v>
      </c>
      <c r="BW425" s="55">
        <v>0</v>
      </c>
      <c r="BX425" s="55">
        <v>0</v>
      </c>
      <c r="BY425" s="55"/>
      <c r="BZ425" s="55">
        <v>388642.91080000001</v>
      </c>
      <c r="CA425" s="63">
        <v>50318.9908</v>
      </c>
      <c r="CB425" s="64">
        <v>535453.14924576005</v>
      </c>
      <c r="CD425" s="130"/>
      <c r="CE425" s="117"/>
    </row>
    <row r="426" spans="1:84" x14ac:dyDescent="0.25">
      <c r="A426" s="105">
        <f t="shared" si="130"/>
        <v>406</v>
      </c>
      <c r="B426" s="107" t="s">
        <v>455</v>
      </c>
      <c r="C426" s="53" t="s">
        <v>108</v>
      </c>
      <c r="D426" s="53" t="s">
        <v>366</v>
      </c>
      <c r="E426" s="54">
        <v>1970</v>
      </c>
      <c r="F426" s="54">
        <v>2013</v>
      </c>
      <c r="G426" s="54" t="s">
        <v>64</v>
      </c>
      <c r="H426" s="54">
        <v>4</v>
      </c>
      <c r="I426" s="54">
        <v>4</v>
      </c>
      <c r="J426" s="55">
        <v>2722.8</v>
      </c>
      <c r="K426" s="55">
        <v>2468.6999999999998</v>
      </c>
      <c r="L426" s="55">
        <v>72.099999999999994</v>
      </c>
      <c r="M426" s="56">
        <v>146</v>
      </c>
      <c r="N426" s="112">
        <f t="shared" si="126"/>
        <v>2368167.00260972</v>
      </c>
      <c r="O426" s="63"/>
      <c r="P426" s="63"/>
      <c r="Q426" s="63"/>
      <c r="R426" s="63">
        <v>254690.25</v>
      </c>
      <c r="S426" s="63">
        <v>1934675.99160972</v>
      </c>
      <c r="T426" s="55">
        <v>178800.761</v>
      </c>
      <c r="U426" s="55">
        <v>10175.7369118931</v>
      </c>
      <c r="V426" s="55">
        <v>10175.7369118931</v>
      </c>
      <c r="W426" s="59">
        <v>2023</v>
      </c>
      <c r="X426" s="6" t="e">
        <v>#REF!</v>
      </c>
      <c r="Z426" s="62">
        <f t="shared" si="131"/>
        <v>26878507.739999995</v>
      </c>
      <c r="AA426" s="55">
        <v>5890028.91603126</v>
      </c>
      <c r="AB426" s="55">
        <v>2098859.4476879402</v>
      </c>
      <c r="AC426" s="55">
        <v>2192841.1151652602</v>
      </c>
      <c r="AD426" s="55">
        <v>1372857.18643836</v>
      </c>
      <c r="AE426" s="55">
        <v>839964.14065872005</v>
      </c>
      <c r="AF426" s="55"/>
      <c r="AG426" s="55">
        <v>226016.53592028</v>
      </c>
      <c r="AH426" s="55">
        <v>0</v>
      </c>
      <c r="AI426" s="55">
        <v>10767869.049508199</v>
      </c>
      <c r="AJ426" s="55">
        <v>0</v>
      </c>
      <c r="AK426" s="55">
        <v>0</v>
      </c>
      <c r="AL426" s="55">
        <v>0</v>
      </c>
      <c r="AM426" s="55">
        <v>2709828.5369000002</v>
      </c>
      <c r="AN426" s="63">
        <v>268785.07740000001</v>
      </c>
      <c r="AO426" s="64">
        <v>511457.73428998003</v>
      </c>
      <c r="AP426" s="61">
        <f>+N426-'Приложение №2'!E426</f>
        <v>0</v>
      </c>
      <c r="AQ426" s="1">
        <f>1230267.29-95960.13</f>
        <v>1134307.1600000001</v>
      </c>
      <c r="AR426" s="3">
        <f t="shared" si="132"/>
        <v>266515.8</v>
      </c>
      <c r="AS426" s="3">
        <f>+(K426*10+L426*20)*12*30</f>
        <v>9406440</v>
      </c>
      <c r="AT426" s="6">
        <f t="shared" si="127"/>
        <v>-7471764.0083902795</v>
      </c>
      <c r="AU426" s="6" t="e">
        <v>#REF!</v>
      </c>
      <c r="AV426" s="6" t="e">
        <v>#REF!</v>
      </c>
      <c r="AW426" s="62">
        <f t="shared" si="128"/>
        <v>25889637.380291998</v>
      </c>
      <c r="AX426" s="55">
        <v>6438393.5627340004</v>
      </c>
      <c r="AY426" s="55">
        <v>2323154.7703559999</v>
      </c>
      <c r="AZ426" s="55">
        <v>2462247.36</v>
      </c>
      <c r="BA426" s="55">
        <v>1568819.974554</v>
      </c>
      <c r="BB426" s="55"/>
      <c r="BC426" s="55"/>
      <c r="BD426" s="55">
        <v>226016.53592028</v>
      </c>
      <c r="BE426" s="55">
        <v>0</v>
      </c>
      <c r="BF426" s="55">
        <v>11889999.423917999</v>
      </c>
      <c r="BG426" s="55">
        <v>0</v>
      </c>
      <c r="BH426" s="55">
        <v>0</v>
      </c>
      <c r="BI426" s="55">
        <v>0</v>
      </c>
      <c r="BJ426" s="55">
        <v>386371.78509999998</v>
      </c>
      <c r="BK426" s="63">
        <v>50356.725100000003</v>
      </c>
      <c r="BL426" s="111">
        <v>544277.24260971998</v>
      </c>
      <c r="BM426" s="62">
        <f t="shared" si="129"/>
        <v>20619478.151819997</v>
      </c>
      <c r="BN426" s="55">
        <v>6438393.5627340004</v>
      </c>
      <c r="BO426" s="55">
        <v>2323154.7703559999</v>
      </c>
      <c r="BP426" s="55">
        <v>2462247.36</v>
      </c>
      <c r="BQ426" s="55">
        <v>1533694.94</v>
      </c>
      <c r="BR426" s="55"/>
      <c r="BS426" s="55"/>
      <c r="BT426" s="55">
        <v>226016.53592028</v>
      </c>
      <c r="BU426" s="55">
        <v>0</v>
      </c>
      <c r="BV426" s="55">
        <v>6654965.2300000004</v>
      </c>
      <c r="BW426" s="55">
        <v>0</v>
      </c>
      <c r="BX426" s="55">
        <v>0</v>
      </c>
      <c r="BY426" s="55">
        <v>0</v>
      </c>
      <c r="BZ426" s="55">
        <v>386371.78509999998</v>
      </c>
      <c r="CA426" s="63">
        <v>50356.725100000003</v>
      </c>
      <c r="CB426" s="64">
        <v>544277.24260971998</v>
      </c>
      <c r="CD426" s="117"/>
      <c r="CE426" s="117"/>
    </row>
    <row r="427" spans="1:84" x14ac:dyDescent="0.25">
      <c r="A427" s="105">
        <f t="shared" si="130"/>
        <v>407</v>
      </c>
      <c r="B427" s="107" t="s">
        <v>455</v>
      </c>
      <c r="C427" s="53" t="s">
        <v>108</v>
      </c>
      <c r="D427" s="107" t="s">
        <v>367</v>
      </c>
      <c r="E427" s="54">
        <v>1970</v>
      </c>
      <c r="F427" s="54">
        <v>2013</v>
      </c>
      <c r="G427" s="54" t="s">
        <v>64</v>
      </c>
      <c r="H427" s="54">
        <v>4</v>
      </c>
      <c r="I427" s="54">
        <v>4</v>
      </c>
      <c r="J427" s="55">
        <v>2981.5</v>
      </c>
      <c r="K427" s="55">
        <v>2738.8</v>
      </c>
      <c r="L427" s="55">
        <v>0</v>
      </c>
      <c r="M427" s="56">
        <v>153</v>
      </c>
      <c r="N427" s="108">
        <f t="shared" si="126"/>
        <v>8639397.3008026406</v>
      </c>
      <c r="O427" s="63"/>
      <c r="P427" s="63">
        <v>3573040.04</v>
      </c>
      <c r="Q427" s="63"/>
      <c r="R427" s="63">
        <v>565070.67442091904</v>
      </c>
      <c r="S427" s="63">
        <v>4501286.5863817204</v>
      </c>
      <c r="T427" s="63"/>
      <c r="U427" s="55">
        <v>10190.510401866501</v>
      </c>
      <c r="V427" s="55">
        <v>10190.510401866501</v>
      </c>
      <c r="W427" s="59">
        <v>2023</v>
      </c>
      <c r="X427" s="6" t="e">
        <v>#REF!</v>
      </c>
      <c r="Z427" s="62">
        <f t="shared" si="131"/>
        <v>37346887.229999997</v>
      </c>
      <c r="AA427" s="55">
        <v>6507682.1298052203</v>
      </c>
      <c r="AB427" s="55">
        <v>2318954.6795356199</v>
      </c>
      <c r="AC427" s="55">
        <v>2422791.6618380998</v>
      </c>
      <c r="AD427" s="55">
        <v>1516820.76651756</v>
      </c>
      <c r="AE427" s="55">
        <v>928046.31598098006</v>
      </c>
      <c r="AF427" s="55"/>
      <c r="AG427" s="55">
        <v>249717.57989135999</v>
      </c>
      <c r="AH427" s="55">
        <v>0</v>
      </c>
      <c r="AI427" s="55">
        <v>11897033.101632001</v>
      </c>
      <c r="AJ427" s="55">
        <v>0</v>
      </c>
      <c r="AK427" s="55">
        <v>0</v>
      </c>
      <c r="AL427" s="55">
        <v>6662611.7855203198</v>
      </c>
      <c r="AM427" s="55">
        <v>3758971.1671000002</v>
      </c>
      <c r="AN427" s="63">
        <v>373468.87229999999</v>
      </c>
      <c r="AO427" s="64">
        <v>710789.16987883998</v>
      </c>
      <c r="AP427" s="61">
        <f>+N427-'Приложение №2'!E412</f>
        <v>6303792.1246259809</v>
      </c>
      <c r="AQ427" s="1">
        <f>1220932.16-96512.28</f>
        <v>1124419.8799999999</v>
      </c>
      <c r="AR427" s="3">
        <f t="shared" si="132"/>
        <v>279357.59999999998</v>
      </c>
      <c r="AS427" s="3">
        <f>+(K427*10+L427*20)*12*30</f>
        <v>9859680</v>
      </c>
      <c r="AT427" s="6">
        <f t="shared" si="127"/>
        <v>-5358393.4136182796</v>
      </c>
      <c r="AU427" s="6" t="e">
        <v>#REF!</v>
      </c>
      <c r="AV427" s="6" t="e">
        <v>#REF!</v>
      </c>
      <c r="AW427" s="62">
        <f t="shared" si="128"/>
        <v>34130312.758029997</v>
      </c>
      <c r="AX427" s="55">
        <v>7094689.9108260004</v>
      </c>
      <c r="AY427" s="55">
        <v>2547296.6905260002</v>
      </c>
      <c r="AZ427" s="55">
        <v>1704018.34</v>
      </c>
      <c r="BA427" s="55">
        <v>1334515.24</v>
      </c>
      <c r="BB427" s="55"/>
      <c r="BC427" s="55"/>
      <c r="BD427" s="55">
        <v>249717.57989135999</v>
      </c>
      <c r="BE427" s="55">
        <v>0</v>
      </c>
      <c r="BF427" s="55">
        <v>13087063.849398</v>
      </c>
      <c r="BG427" s="55">
        <v>0</v>
      </c>
      <c r="BH427" s="55">
        <v>0</v>
      </c>
      <c r="BI427" s="55">
        <v>7353384.3865860002</v>
      </c>
      <c r="BJ427" s="55"/>
      <c r="BK427" s="63"/>
      <c r="BL427" s="111">
        <v>759626.76080264</v>
      </c>
      <c r="BM427" s="62">
        <f t="shared" si="129"/>
        <v>26509372.922046006</v>
      </c>
      <c r="BN427" s="55">
        <v>7094689.9108260004</v>
      </c>
      <c r="BO427" s="55">
        <v>2547296.6905260002</v>
      </c>
      <c r="BP427" s="55">
        <v>1704018.34</v>
      </c>
      <c r="BQ427" s="55">
        <v>1334515.24</v>
      </c>
      <c r="BR427" s="55"/>
      <c r="BS427" s="55"/>
      <c r="BT427" s="55">
        <v>249717.57989135999</v>
      </c>
      <c r="BU427" s="55">
        <v>0</v>
      </c>
      <c r="BV427" s="55">
        <v>6866520.9800000004</v>
      </c>
      <c r="BW427" s="55">
        <v>0</v>
      </c>
      <c r="BX427" s="55">
        <v>0</v>
      </c>
      <c r="BY427" s="55">
        <v>5952987.4199999999</v>
      </c>
      <c r="BZ427" s="55"/>
      <c r="CA427" s="63"/>
      <c r="CB427" s="64">
        <v>759626.76080264</v>
      </c>
      <c r="CD427" s="6"/>
    </row>
    <row r="428" spans="1:84" x14ac:dyDescent="0.25">
      <c r="A428" s="105">
        <f t="shared" si="130"/>
        <v>408</v>
      </c>
      <c r="B428" s="107" t="s">
        <v>455</v>
      </c>
      <c r="C428" s="53" t="s">
        <v>108</v>
      </c>
      <c r="D428" s="53" t="s">
        <v>173</v>
      </c>
      <c r="E428" s="54">
        <v>1980</v>
      </c>
      <c r="F428" s="54">
        <v>2008</v>
      </c>
      <c r="G428" s="54" t="s">
        <v>64</v>
      </c>
      <c r="H428" s="54">
        <v>5</v>
      </c>
      <c r="I428" s="54">
        <v>6</v>
      </c>
      <c r="J428" s="55">
        <v>7149.4</v>
      </c>
      <c r="K428" s="55">
        <v>6325.2</v>
      </c>
      <c r="L428" s="55">
        <v>0</v>
      </c>
      <c r="M428" s="56">
        <v>293</v>
      </c>
      <c r="N428" s="112">
        <f t="shared" si="126"/>
        <v>47377493.932860568</v>
      </c>
      <c r="O428" s="55"/>
      <c r="P428" s="63">
        <v>41523268.409999996</v>
      </c>
      <c r="Q428" s="63"/>
      <c r="R428" s="63">
        <v>2344035.8228605702</v>
      </c>
      <c r="S428" s="63"/>
      <c r="T428" s="63">
        <v>3510189.7</v>
      </c>
      <c r="U428" s="55">
        <v>10739.0943856371</v>
      </c>
      <c r="V428" s="55">
        <v>10739.0943856371</v>
      </c>
      <c r="W428" s="59">
        <v>2023</v>
      </c>
      <c r="X428" s="6" t="e">
        <v>#REF!</v>
      </c>
      <c r="Z428" s="62">
        <f t="shared" si="131"/>
        <v>114548451.67000006</v>
      </c>
      <c r="AA428" s="55">
        <v>10489330.258041199</v>
      </c>
      <c r="AB428" s="55">
        <v>6066266.4462859202</v>
      </c>
      <c r="AC428" s="55">
        <v>6412492.7922270596</v>
      </c>
      <c r="AD428" s="55">
        <v>4889580.2685995996</v>
      </c>
      <c r="AE428" s="55">
        <v>1953287.2251610199</v>
      </c>
      <c r="AF428" s="55"/>
      <c r="AG428" s="55">
        <v>521212.05792599998</v>
      </c>
      <c r="AH428" s="55">
        <v>0</v>
      </c>
      <c r="AI428" s="55">
        <v>18672604.894377001</v>
      </c>
      <c r="AJ428" s="55">
        <v>0</v>
      </c>
      <c r="AK428" s="55">
        <v>36252968.326471299</v>
      </c>
      <c r="AL428" s="55">
        <v>14257827.475101</v>
      </c>
      <c r="AM428" s="55">
        <v>11711193.4519</v>
      </c>
      <c r="AN428" s="63">
        <v>1145484.5167</v>
      </c>
      <c r="AO428" s="64">
        <v>2176203.9572099601</v>
      </c>
      <c r="AP428" s="61">
        <f>+N428-'Приложение №2'!E428</f>
        <v>0</v>
      </c>
      <c r="AQ428" s="6">
        <f>3044323.81-R264</f>
        <v>703621.06999999983</v>
      </c>
      <c r="AR428" s="3">
        <f t="shared" si="132"/>
        <v>645170.4</v>
      </c>
      <c r="AS428" s="3">
        <f>+(K428*10+L428*20)*12*30-S264</f>
        <v>20296154.702489302</v>
      </c>
      <c r="AT428" s="6">
        <f t="shared" si="127"/>
        <v>-20296154.702489302</v>
      </c>
      <c r="AU428" s="6" t="e">
        <v>#REF!</v>
      </c>
      <c r="AV428" s="6" t="e">
        <v>#REF!</v>
      </c>
      <c r="AW428" s="62">
        <f t="shared" si="128"/>
        <v>67926919.808031857</v>
      </c>
      <c r="AX428" s="55">
        <v>7864219.1399999997</v>
      </c>
      <c r="AY428" s="53"/>
      <c r="AZ428" s="55">
        <v>2874656.38</v>
      </c>
      <c r="BA428" s="55">
        <v>1502641.16</v>
      </c>
      <c r="BB428" s="53"/>
      <c r="BC428" s="53"/>
      <c r="BD428" s="53"/>
      <c r="BE428" s="53"/>
      <c r="BF428" s="53"/>
      <c r="BG428" s="53"/>
      <c r="BH428" s="57">
        <v>36252968.326471299</v>
      </c>
      <c r="BI428" s="57">
        <v>15215386.67</v>
      </c>
      <c r="BJ428" s="55">
        <v>2584774.6793999998</v>
      </c>
      <c r="BK428" s="55">
        <v>286926.38929999998</v>
      </c>
      <c r="BL428" s="111">
        <f>552568.07023182+792778.99262874</f>
        <v>1345347.0628605601</v>
      </c>
      <c r="BM428" s="62">
        <f t="shared" si="129"/>
        <v>67926919.808031857</v>
      </c>
      <c r="BN428" s="55">
        <v>7864219.1399999997</v>
      </c>
      <c r="BO428" s="53"/>
      <c r="BP428" s="55">
        <v>2874656.38</v>
      </c>
      <c r="BQ428" s="55">
        <v>1502641.16</v>
      </c>
      <c r="BR428" s="53"/>
      <c r="BS428" s="53"/>
      <c r="BT428" s="53"/>
      <c r="BU428" s="53"/>
      <c r="BV428" s="53"/>
      <c r="BW428" s="53"/>
      <c r="BX428" s="57">
        <v>36252968.326471299</v>
      </c>
      <c r="BY428" s="57">
        <v>15215386.67</v>
      </c>
      <c r="BZ428" s="55">
        <v>2584774.6793999998</v>
      </c>
      <c r="CA428" s="55">
        <v>286926.38929999998</v>
      </c>
      <c r="CB428" s="64">
        <f>552568.07023182+792778.99262874</f>
        <v>1345347.0628605601</v>
      </c>
      <c r="CD428" s="130"/>
      <c r="CE428" s="117"/>
    </row>
    <row r="429" spans="1:84" s="69" customFormat="1" x14ac:dyDescent="0.25">
      <c r="A429" s="105">
        <f t="shared" si="130"/>
        <v>409</v>
      </c>
      <c r="B429" s="107" t="s">
        <v>455</v>
      </c>
      <c r="C429" s="107" t="s">
        <v>108</v>
      </c>
      <c r="D429" s="107" t="s">
        <v>369</v>
      </c>
      <c r="E429" s="128" t="s">
        <v>370</v>
      </c>
      <c r="F429" s="128"/>
      <c r="G429" s="128" t="s">
        <v>64</v>
      </c>
      <c r="H429" s="128" t="s">
        <v>101</v>
      </c>
      <c r="I429" s="128" t="s">
        <v>125</v>
      </c>
      <c r="J429" s="63">
        <v>7651.5</v>
      </c>
      <c r="K429" s="63">
        <v>6138</v>
      </c>
      <c r="L429" s="63">
        <v>119</v>
      </c>
      <c r="M429" s="129">
        <v>293</v>
      </c>
      <c r="N429" s="108">
        <f t="shared" si="126"/>
        <v>7763056.1874070829</v>
      </c>
      <c r="O429" s="63">
        <v>0</v>
      </c>
      <c r="P429" s="63"/>
      <c r="Q429" s="63">
        <v>0</v>
      </c>
      <c r="R429" s="63">
        <v>259780.51285714301</v>
      </c>
      <c r="S429" s="63">
        <v>7503275.67454994</v>
      </c>
      <c r="T429" s="63"/>
      <c r="U429" s="63">
        <v>5118.14134739371</v>
      </c>
      <c r="V429" s="63">
        <v>5118.14134739371</v>
      </c>
      <c r="W429" s="59">
        <v>2023</v>
      </c>
      <c r="X429" s="69">
        <v>2205585.94</v>
      </c>
      <c r="Y429" s="69">
        <f>+(K429*9.1+L429*18.19)*12</f>
        <v>696244.91999999993</v>
      </c>
      <c r="AA429" s="70" t="e">
        <v>#REF!</v>
      </c>
      <c r="AD429" s="70" t="e">
        <v>#REF!</v>
      </c>
      <c r="AP429" s="61">
        <f>+N429-'Приложение №2'!E428</f>
        <v>-39614437.745453484</v>
      </c>
      <c r="AQ429" s="114">
        <f>2725811.3-R91</f>
        <v>718938.53137799981</v>
      </c>
      <c r="AR429" s="3">
        <f t="shared" si="132"/>
        <v>650352</v>
      </c>
      <c r="AS429" s="3">
        <f>+(K429*10+L429*20)*12*30-S91</f>
        <v>22953600</v>
      </c>
      <c r="AT429" s="6">
        <f t="shared" si="127"/>
        <v>-15450324.325450059</v>
      </c>
      <c r="AU429" s="6" t="e">
        <v>#REF!</v>
      </c>
      <c r="AV429" s="6" t="e">
        <v>#REF!</v>
      </c>
      <c r="AW429" s="62">
        <f t="shared" si="128"/>
        <v>32024210.410642475</v>
      </c>
      <c r="AX429" s="55">
        <v>16034044.1521801</v>
      </c>
      <c r="AY429" s="55">
        <v>5691851.8389192801</v>
      </c>
      <c r="AZ429" s="55"/>
      <c r="BA429" s="55">
        <v>5790873.0293484004</v>
      </c>
      <c r="BB429" s="55">
        <v>2792950.7234944901</v>
      </c>
      <c r="BC429" s="55"/>
      <c r="BD429" s="55">
        <v>582245.94929312496</v>
      </c>
      <c r="BE429" s="55"/>
      <c r="BF429" s="55"/>
      <c r="BG429" s="55"/>
      <c r="BH429" s="7"/>
      <c r="BI429" s="55"/>
      <c r="BJ429" s="55"/>
      <c r="BK429" s="63"/>
      <c r="BL429" s="64">
        <v>1132244.7174070801</v>
      </c>
      <c r="BM429" s="62">
        <f t="shared" si="129"/>
        <v>32024210.410642475</v>
      </c>
      <c r="BN429" s="55">
        <v>16034044.1521801</v>
      </c>
      <c r="BO429" s="55">
        <v>5691851.8389192801</v>
      </c>
      <c r="BP429" s="55"/>
      <c r="BQ429" s="55">
        <v>5790873.0293484004</v>
      </c>
      <c r="BR429" s="55">
        <v>2792950.7234944901</v>
      </c>
      <c r="BS429" s="55"/>
      <c r="BT429" s="55">
        <v>582245.94929312496</v>
      </c>
      <c r="BU429" s="55"/>
      <c r="BV429" s="55"/>
      <c r="BW429" s="55"/>
      <c r="BX429" s="7"/>
      <c r="BY429" s="55"/>
      <c r="BZ429" s="55"/>
      <c r="CA429" s="63"/>
      <c r="CB429" s="64">
        <v>1132244.7174070801</v>
      </c>
      <c r="CD429" s="116"/>
    </row>
    <row r="430" spans="1:84" x14ac:dyDescent="0.25">
      <c r="A430" s="105">
        <f t="shared" si="130"/>
        <v>410</v>
      </c>
      <c r="B430" s="107" t="s">
        <v>455</v>
      </c>
      <c r="C430" s="53" t="s">
        <v>108</v>
      </c>
      <c r="D430" s="53" t="s">
        <v>374</v>
      </c>
      <c r="E430" s="54">
        <v>1971</v>
      </c>
      <c r="F430" s="54">
        <v>2013</v>
      </c>
      <c r="G430" s="54" t="s">
        <v>64</v>
      </c>
      <c r="H430" s="54">
        <v>4</v>
      </c>
      <c r="I430" s="54">
        <v>4</v>
      </c>
      <c r="J430" s="55">
        <v>3003.8</v>
      </c>
      <c r="K430" s="55">
        <v>2693.7</v>
      </c>
      <c r="L430" s="55">
        <v>0</v>
      </c>
      <c r="M430" s="56">
        <v>120</v>
      </c>
      <c r="N430" s="112">
        <f t="shared" si="126"/>
        <v>2646510.4078939999</v>
      </c>
      <c r="O430" s="55"/>
      <c r="P430" s="63">
        <v>273173.86</v>
      </c>
      <c r="Q430" s="63"/>
      <c r="R430" s="63">
        <v>247704.3</v>
      </c>
      <c r="S430" s="63">
        <v>2125632.2478939998</v>
      </c>
      <c r="T430" s="63"/>
      <c r="U430" s="55">
        <v>3814.0265960125698</v>
      </c>
      <c r="V430" s="55">
        <v>3814.0265960125698</v>
      </c>
      <c r="W430" s="59">
        <v>2023</v>
      </c>
      <c r="X430" s="6" t="e">
        <v>#REF!</v>
      </c>
      <c r="Z430" s="62">
        <f>SUM(AA430:AO430)</f>
        <v>21441082.737894002</v>
      </c>
      <c r="AA430" s="55">
        <v>0</v>
      </c>
      <c r="AB430" s="55">
        <v>2296919.6304310202</v>
      </c>
      <c r="AC430" s="55">
        <v>2399769.9437850602</v>
      </c>
      <c r="AD430" s="55">
        <v>0</v>
      </c>
      <c r="AE430" s="55">
        <v>1020388.92</v>
      </c>
      <c r="AF430" s="55"/>
      <c r="AG430" s="55">
        <v>247344.72404291999</v>
      </c>
      <c r="AH430" s="55">
        <v>0</v>
      </c>
      <c r="AI430" s="55">
        <v>0</v>
      </c>
      <c r="AJ430" s="55">
        <v>0</v>
      </c>
      <c r="AK430" s="55">
        <v>6118299.9556224002</v>
      </c>
      <c r="AL430" s="55">
        <v>6599302.6705422597</v>
      </c>
      <c r="AM430" s="55">
        <v>2162864.8599</v>
      </c>
      <c r="AN430" s="63">
        <v>205857.47700000001</v>
      </c>
      <c r="AO430" s="64">
        <v>390334.55657034001</v>
      </c>
      <c r="AP430" s="61">
        <f>+N430-'Приложение №2'!E430</f>
        <v>0</v>
      </c>
      <c r="AQ430" s="1">
        <f>1245150.45-129665.9434</f>
        <v>1115484.5066</v>
      </c>
      <c r="AR430" s="3">
        <f t="shared" si="132"/>
        <v>274757.39999999997</v>
      </c>
      <c r="AS430" s="3">
        <f>+(K430*10+L430*20)*12*30-552777.2166</f>
        <v>9144542.7833999991</v>
      </c>
      <c r="AT430" s="6">
        <f t="shared" si="127"/>
        <v>-7018910.5355059989</v>
      </c>
      <c r="AU430" s="6" t="e">
        <v>#REF!</v>
      </c>
      <c r="AV430" s="6" t="e">
        <v>#REF!</v>
      </c>
      <c r="AW430" s="62">
        <f t="shared" si="128"/>
        <v>10273843.44167906</v>
      </c>
      <c r="AX430" s="55"/>
      <c r="AY430" s="55"/>
      <c r="AZ430" s="55">
        <v>2399769.9437850602</v>
      </c>
      <c r="BA430" s="55">
        <v>0</v>
      </c>
      <c r="BB430" s="55">
        <v>1020388.92</v>
      </c>
      <c r="BC430" s="55"/>
      <c r="BD430" s="55"/>
      <c r="BE430" s="55"/>
      <c r="BF430" s="55"/>
      <c r="BG430" s="55"/>
      <c r="BH430" s="55"/>
      <c r="BI430" s="55">
        <v>6849574.25</v>
      </c>
      <c r="BJ430" s="55"/>
      <c r="BK430" s="63"/>
      <c r="BL430" s="111">
        <v>4110.327894</v>
      </c>
      <c r="BM430" s="62">
        <f t="shared" si="129"/>
        <v>10419561.671679061</v>
      </c>
      <c r="BN430" s="55"/>
      <c r="BO430" s="55"/>
      <c r="BP430" s="55">
        <v>2399769.9437850602</v>
      </c>
      <c r="BQ430" s="55">
        <v>0</v>
      </c>
      <c r="BR430" s="55">
        <v>1020388.92</v>
      </c>
      <c r="BS430" s="55"/>
      <c r="BT430" s="55"/>
      <c r="BU430" s="55"/>
      <c r="BV430" s="55"/>
      <c r="BW430" s="55"/>
      <c r="BX430" s="55"/>
      <c r="BY430" s="118">
        <v>6995292.4800000004</v>
      </c>
      <c r="BZ430" s="55"/>
      <c r="CA430" s="63"/>
      <c r="CB430" s="64">
        <v>4110.327894</v>
      </c>
      <c r="CD430" s="6"/>
    </row>
    <row r="431" spans="1:84" s="69" customFormat="1" x14ac:dyDescent="0.25">
      <c r="A431" s="105">
        <f t="shared" si="130"/>
        <v>411</v>
      </c>
      <c r="B431" s="107">
        <v>204</v>
      </c>
      <c r="C431" s="53" t="s">
        <v>108</v>
      </c>
      <c r="D431" s="53" t="s">
        <v>477</v>
      </c>
      <c r="E431" s="54" t="s">
        <v>377</v>
      </c>
      <c r="F431" s="54"/>
      <c r="G431" s="54" t="s">
        <v>64</v>
      </c>
      <c r="H431" s="54" t="s">
        <v>184</v>
      </c>
      <c r="I431" s="54" t="s">
        <v>184</v>
      </c>
      <c r="J431" s="55">
        <v>2630.5</v>
      </c>
      <c r="K431" s="55">
        <v>2361.1</v>
      </c>
      <c r="L431" s="55">
        <v>37.5</v>
      </c>
      <c r="M431" s="56">
        <v>122</v>
      </c>
      <c r="N431" s="112">
        <f t="shared" si="126"/>
        <v>5949742.1280124607</v>
      </c>
      <c r="O431" s="55">
        <v>0</v>
      </c>
      <c r="P431" s="63"/>
      <c r="Q431" s="63">
        <v>0</v>
      </c>
      <c r="R431" s="63">
        <v>1380626.28</v>
      </c>
      <c r="S431" s="63">
        <v>4569115.8480124604</v>
      </c>
      <c r="T431" s="63"/>
      <c r="U431" s="55">
        <v>4974.1784499291298</v>
      </c>
      <c r="V431" s="55">
        <v>4974.1784499291298</v>
      </c>
      <c r="W431" s="59">
        <v>2023</v>
      </c>
      <c r="X431" s="69">
        <v>898574.26</v>
      </c>
      <c r="Y431" s="69">
        <f>+(K431*9.1+L431*18.19)*12</f>
        <v>266017.62</v>
      </c>
      <c r="AA431" s="70" t="e">
        <v>#REF!</v>
      </c>
      <c r="AD431" s="70" t="e">
        <v>#REF!</v>
      </c>
      <c r="AP431" s="61">
        <f>+N431-'Приложение №2'!E431</f>
        <v>0</v>
      </c>
      <c r="AQ431" s="69">
        <v>1132144.08</v>
      </c>
      <c r="AR431" s="3">
        <f t="shared" si="132"/>
        <v>248482.19999999998</v>
      </c>
      <c r="AS431" s="3">
        <f>+(K431*10+L431*20)*12*30</f>
        <v>8769960</v>
      </c>
      <c r="AT431" s="6">
        <f t="shared" si="127"/>
        <v>-4200844.1519875396</v>
      </c>
      <c r="AU431" s="6" t="e">
        <v>#REF!</v>
      </c>
      <c r="AV431" s="6" t="e">
        <v>#REF!</v>
      </c>
      <c r="AW431" s="62">
        <f t="shared" si="128"/>
        <v>11931064.429999959</v>
      </c>
      <c r="AX431" s="55"/>
      <c r="AY431" s="55"/>
      <c r="AZ431" s="55"/>
      <c r="BA431" s="55"/>
      <c r="BB431" s="55"/>
      <c r="BC431" s="55"/>
      <c r="BD431" s="55"/>
      <c r="BE431" s="55"/>
      <c r="BF431" s="55">
        <v>11429694.424158501</v>
      </c>
      <c r="BG431" s="55"/>
      <c r="BH431" s="55"/>
      <c r="BI431" s="55"/>
      <c r="BJ431" s="55">
        <v>227425.73782899999</v>
      </c>
      <c r="BK431" s="63">
        <v>24000</v>
      </c>
      <c r="BL431" s="111">
        <v>249944.26801245901</v>
      </c>
      <c r="BM431" s="62">
        <f t="shared" si="129"/>
        <v>11931064.429999959</v>
      </c>
      <c r="BN431" s="55"/>
      <c r="BO431" s="55"/>
      <c r="BP431" s="55"/>
      <c r="BQ431" s="55"/>
      <c r="BR431" s="55"/>
      <c r="BS431" s="55"/>
      <c r="BT431" s="55"/>
      <c r="BU431" s="55"/>
      <c r="BV431" s="55">
        <v>11429694.424158501</v>
      </c>
      <c r="BW431" s="55"/>
      <c r="BX431" s="55"/>
      <c r="BY431" s="55"/>
      <c r="BZ431" s="55">
        <v>227425.73782899999</v>
      </c>
      <c r="CA431" s="63">
        <v>24000</v>
      </c>
      <c r="CB431" s="64">
        <v>249944.26801245901</v>
      </c>
      <c r="CD431" s="114"/>
      <c r="CE431" s="70"/>
      <c r="CF431" s="114"/>
    </row>
    <row r="432" spans="1:84" s="69" customFormat="1" x14ac:dyDescent="0.25">
      <c r="A432" s="105">
        <f t="shared" si="130"/>
        <v>412</v>
      </c>
      <c r="B432" s="107" t="s">
        <v>455</v>
      </c>
      <c r="C432" s="53" t="s">
        <v>181</v>
      </c>
      <c r="D432" s="53" t="s">
        <v>375</v>
      </c>
      <c r="E432" s="54" t="s">
        <v>338</v>
      </c>
      <c r="F432" s="54"/>
      <c r="G432" s="54" t="s">
        <v>64</v>
      </c>
      <c r="H432" s="54" t="s">
        <v>184</v>
      </c>
      <c r="I432" s="54" t="s">
        <v>145</v>
      </c>
      <c r="J432" s="55">
        <v>3411.7</v>
      </c>
      <c r="K432" s="55">
        <v>2190.6999999999998</v>
      </c>
      <c r="L432" s="55">
        <v>1221</v>
      </c>
      <c r="M432" s="56">
        <v>86</v>
      </c>
      <c r="N432" s="112">
        <f t="shared" si="126"/>
        <v>14415759.54513886</v>
      </c>
      <c r="O432" s="55">
        <v>0</v>
      </c>
      <c r="P432" s="63">
        <v>2950310.4027513601</v>
      </c>
      <c r="Q432" s="63">
        <v>0</v>
      </c>
      <c r="R432" s="63">
        <v>1657542.4902226401</v>
      </c>
      <c r="S432" s="63">
        <v>9807906.6521648597</v>
      </c>
      <c r="T432" s="63"/>
      <c r="U432" s="63">
        <v>14950.9382357458</v>
      </c>
      <c r="V432" s="63">
        <v>1322.2830200640001</v>
      </c>
      <c r="W432" s="59">
        <v>2023</v>
      </c>
      <c r="X432" s="69">
        <v>1858783.44</v>
      </c>
      <c r="Y432" s="69">
        <f>+(K432*9.1+L432*18.19)*12</f>
        <v>505744.32</v>
      </c>
      <c r="AA432" s="70" t="e">
        <v>#REF!</v>
      </c>
      <c r="AD432" s="70" t="e">
        <v>#REF!</v>
      </c>
      <c r="AP432" s="61">
        <f>+N432-'Приложение №2'!E415</f>
        <v>-260701.16281170212</v>
      </c>
      <c r="AQ432" s="65">
        <v>2892323.62</v>
      </c>
      <c r="AR432" s="3">
        <f>+(K432*10.5+L432*21)*12*0.85</f>
        <v>496162.16999999993</v>
      </c>
      <c r="AS432" s="3">
        <f>+(K432*10.5+L432*21)*12*30</f>
        <v>17511606</v>
      </c>
      <c r="AT432" s="6">
        <f t="shared" si="127"/>
        <v>-7703699.3478351403</v>
      </c>
      <c r="AU432" s="6" t="e">
        <v>#REF!</v>
      </c>
      <c r="AV432" s="6" t="e">
        <v>#REF!</v>
      </c>
      <c r="AW432" s="110">
        <f t="shared" si="128"/>
        <v>32753020.393048245</v>
      </c>
      <c r="AX432" s="55">
        <v>8145536.9211967904</v>
      </c>
      <c r="AY432" s="55"/>
      <c r="AZ432" s="55">
        <v>3032559.0353823998</v>
      </c>
      <c r="BA432" s="55"/>
      <c r="BB432" s="55"/>
      <c r="BC432" s="55"/>
      <c r="BD432" s="55">
        <v>312550.298643218</v>
      </c>
      <c r="BE432" s="55">
        <v>0</v>
      </c>
      <c r="BF432" s="55">
        <v>0</v>
      </c>
      <c r="BG432" s="55">
        <v>0</v>
      </c>
      <c r="BH432" s="55">
        <v>7731612.4366276301</v>
      </c>
      <c r="BI432" s="55">
        <v>8339440.5593839698</v>
      </c>
      <c r="BJ432" s="55">
        <v>4071050.8610671</v>
      </c>
      <c r="BK432" s="63">
        <v>387157.94560827798</v>
      </c>
      <c r="BL432" s="111">
        <v>733112.33513886202</v>
      </c>
      <c r="BM432" s="110">
        <f t="shared" si="129"/>
        <v>32753020.393048245</v>
      </c>
      <c r="BN432" s="55">
        <v>8145536.9211967904</v>
      </c>
      <c r="BO432" s="55"/>
      <c r="BP432" s="55">
        <v>3032559.0353823998</v>
      </c>
      <c r="BQ432" s="55"/>
      <c r="BR432" s="55"/>
      <c r="BS432" s="55"/>
      <c r="BT432" s="55">
        <v>312550.298643218</v>
      </c>
      <c r="BU432" s="55">
        <v>0</v>
      </c>
      <c r="BV432" s="55">
        <v>0</v>
      </c>
      <c r="BW432" s="55">
        <v>0</v>
      </c>
      <c r="BX432" s="55">
        <v>7731612.4366276301</v>
      </c>
      <c r="BY432" s="55">
        <v>8339440.5593839698</v>
      </c>
      <c r="BZ432" s="55">
        <v>4071050.8610671</v>
      </c>
      <c r="CA432" s="63">
        <v>387157.94560827798</v>
      </c>
      <c r="CB432" s="64">
        <v>733112.33513886202</v>
      </c>
      <c r="CD432" s="114"/>
    </row>
    <row r="433" spans="1:83" x14ac:dyDescent="0.25">
      <c r="A433" s="105">
        <f t="shared" si="130"/>
        <v>413</v>
      </c>
      <c r="B433" s="106" t="s">
        <v>455</v>
      </c>
      <c r="C433" s="107" t="s">
        <v>108</v>
      </c>
      <c r="D433" s="107" t="s">
        <v>178</v>
      </c>
      <c r="E433" s="54">
        <v>1966</v>
      </c>
      <c r="F433" s="54">
        <v>2013</v>
      </c>
      <c r="G433" s="54" t="s">
        <v>64</v>
      </c>
      <c r="H433" s="54">
        <v>4</v>
      </c>
      <c r="I433" s="54">
        <v>6</v>
      </c>
      <c r="J433" s="55">
        <v>2829.5</v>
      </c>
      <c r="K433" s="55">
        <v>2537.8000000000002</v>
      </c>
      <c r="L433" s="55">
        <v>230.6</v>
      </c>
      <c r="M433" s="56">
        <v>144</v>
      </c>
      <c r="N433" s="108">
        <f t="shared" si="126"/>
        <v>10294729.31377802</v>
      </c>
      <c r="O433" s="63"/>
      <c r="P433" s="63">
        <v>5819327.3799999999</v>
      </c>
      <c r="Q433" s="63"/>
      <c r="R433" s="63">
        <v>291228.86</v>
      </c>
      <c r="S433" s="63">
        <v>4184173.0737780202</v>
      </c>
      <c r="T433" s="63"/>
      <c r="U433" s="63">
        <v>9188.1000978513803</v>
      </c>
      <c r="V433" s="63">
        <v>1324.2830200640001</v>
      </c>
      <c r="W433" s="109">
        <v>2023</v>
      </c>
      <c r="X433" s="6" t="e">
        <v>#REF!</v>
      </c>
      <c r="Z433" s="62">
        <f>SUM(AA433:AO433)</f>
        <v>15087934.029999997</v>
      </c>
      <c r="AA433" s="55">
        <v>6065034.6402882598</v>
      </c>
      <c r="AB433" s="55">
        <v>2161221.1824524999</v>
      </c>
      <c r="AC433" s="55">
        <v>2257995.2503873799</v>
      </c>
      <c r="AD433" s="55">
        <v>1413647.7960217199</v>
      </c>
      <c r="AE433" s="55">
        <v>864921.32273358002</v>
      </c>
      <c r="AF433" s="55"/>
      <c r="AG433" s="55">
        <v>232731.98563608</v>
      </c>
      <c r="AH433" s="55">
        <v>0</v>
      </c>
      <c r="AI433" s="55">
        <v>0</v>
      </c>
      <c r="AJ433" s="55">
        <v>0</v>
      </c>
      <c r="AK433" s="55">
        <v>0</v>
      </c>
      <c r="AL433" s="55">
        <v>0</v>
      </c>
      <c r="AM433" s="55">
        <v>1657316.1065</v>
      </c>
      <c r="AN433" s="63">
        <v>150879.34030000001</v>
      </c>
      <c r="AO433" s="64">
        <v>284186.40568048001</v>
      </c>
      <c r="AP433" s="61">
        <f>+N433-'Приложение №2'!E433</f>
        <v>0</v>
      </c>
      <c r="AQ433" s="73">
        <v>1632407.51</v>
      </c>
      <c r="AR433" s="3">
        <f>+(K433*10.5+L433*21)*12*0.85</f>
        <v>321192.89999999997</v>
      </c>
      <c r="AS433" s="3">
        <f>+(K433*10.5+L433*21)*12*30</f>
        <v>11336220</v>
      </c>
      <c r="AT433" s="6">
        <f t="shared" si="127"/>
        <v>-7152046.9262219798</v>
      </c>
      <c r="AU433" s="6"/>
      <c r="AV433" s="6"/>
      <c r="AW433" s="110">
        <f t="shared" si="128"/>
        <v>23317560.428327259</v>
      </c>
      <c r="AX433" s="55"/>
      <c r="AY433" s="55"/>
      <c r="AZ433" s="55"/>
      <c r="BA433" s="55"/>
      <c r="BB433" s="55"/>
      <c r="BC433" s="55"/>
      <c r="BD433" s="55"/>
      <c r="BE433" s="55"/>
      <c r="BF433" s="55">
        <v>12083403.596964801</v>
      </c>
      <c r="BG433" s="55">
        <v>0</v>
      </c>
      <c r="BH433" s="55"/>
      <c r="BI433" s="55">
        <v>7268144.6399999997</v>
      </c>
      <c r="BJ433" s="55">
        <v>2732058.4400660498</v>
      </c>
      <c r="BK433" s="63">
        <v>286925.44751838502</v>
      </c>
      <c r="BL433" s="111">
        <v>947028.30377802101</v>
      </c>
      <c r="BM433" s="110">
        <f t="shared" si="129"/>
        <v>23317560.428327259</v>
      </c>
      <c r="BN433" s="55"/>
      <c r="BO433" s="55"/>
      <c r="BP433" s="55"/>
      <c r="BQ433" s="55"/>
      <c r="BR433" s="55"/>
      <c r="BS433" s="55"/>
      <c r="BT433" s="55"/>
      <c r="BU433" s="55"/>
      <c r="BV433" s="55">
        <v>12083403.596964801</v>
      </c>
      <c r="BW433" s="55">
        <v>0</v>
      </c>
      <c r="BX433" s="55"/>
      <c r="BY433" s="55">
        <v>7268144.6399999997</v>
      </c>
      <c r="BZ433" s="55">
        <v>2732058.4400660498</v>
      </c>
      <c r="CA433" s="63">
        <v>286925.44751838502</v>
      </c>
      <c r="CB433" s="64">
        <v>947028.30377802101</v>
      </c>
      <c r="CD433" s="6"/>
    </row>
    <row r="434" spans="1:83" s="69" customFormat="1" x14ac:dyDescent="0.25">
      <c r="A434" s="105">
        <f>+A432+1</f>
        <v>413</v>
      </c>
      <c r="B434" s="107" t="s">
        <v>455</v>
      </c>
      <c r="C434" s="53" t="s">
        <v>181</v>
      </c>
      <c r="D434" s="53" t="s">
        <v>381</v>
      </c>
      <c r="E434" s="54" t="s">
        <v>183</v>
      </c>
      <c r="F434" s="54"/>
      <c r="G434" s="54" t="s">
        <v>64</v>
      </c>
      <c r="H434" s="54" t="s">
        <v>184</v>
      </c>
      <c r="I434" s="54" t="s">
        <v>185</v>
      </c>
      <c r="J434" s="55">
        <v>5751.1</v>
      </c>
      <c r="K434" s="55">
        <v>4971.6000000000004</v>
      </c>
      <c r="L434" s="55">
        <v>0</v>
      </c>
      <c r="M434" s="56">
        <v>221</v>
      </c>
      <c r="N434" s="112">
        <f t="shared" si="126"/>
        <v>13036284.915639849</v>
      </c>
      <c r="O434" s="55">
        <v>0</v>
      </c>
      <c r="P434" s="63">
        <v>7343308.1399999997</v>
      </c>
      <c r="Q434" s="63">
        <v>0</v>
      </c>
      <c r="R434" s="63">
        <v>470172.68</v>
      </c>
      <c r="S434" s="63">
        <v>5222804.09563985</v>
      </c>
      <c r="T434" s="63"/>
      <c r="U434" s="63">
        <v>10054.0694105366</v>
      </c>
      <c r="V434" s="63">
        <v>1330.2830200640001</v>
      </c>
      <c r="W434" s="59">
        <v>2023</v>
      </c>
      <c r="X434" s="69">
        <v>1827431.02</v>
      </c>
      <c r="Y434" s="69">
        <f>+(K434*9.1+L434*18.19)*12</f>
        <v>542898.72000000009</v>
      </c>
      <c r="AA434" s="70" t="e">
        <v>#REF!</v>
      </c>
      <c r="AD434" s="70" t="e">
        <v>#REF!</v>
      </c>
      <c r="AP434" s="61">
        <f>+N434-'Приложение №2'!E416</f>
        <v>1347570.2507929262</v>
      </c>
      <c r="AQ434" s="65">
        <v>2885684.78</v>
      </c>
      <c r="AR434" s="3">
        <f>+(K434*10.5+L434*21)*12*0.85</f>
        <v>532458.3600000001</v>
      </c>
      <c r="AS434" s="3">
        <f>+(K434*10.5+L434*21)*12*30</f>
        <v>18792648.000000004</v>
      </c>
      <c r="AT434" s="6">
        <f t="shared" si="127"/>
        <v>-13569843.904360153</v>
      </c>
      <c r="AU434" s="6" t="e">
        <v>#REF!</v>
      </c>
      <c r="AV434" s="6" t="e">
        <v>#REF!</v>
      </c>
      <c r="AW434" s="110">
        <f t="shared" si="128"/>
        <v>49984811.48142352</v>
      </c>
      <c r="AX434" s="55">
        <v>8299975.9537642198</v>
      </c>
      <c r="AY434" s="55">
        <v>4800122.69708414</v>
      </c>
      <c r="AZ434" s="55">
        <v>0</v>
      </c>
      <c r="BA434" s="55">
        <v>0</v>
      </c>
      <c r="BB434" s="55"/>
      <c r="BC434" s="55"/>
      <c r="BD434" s="55">
        <v>412435.57775988901</v>
      </c>
      <c r="BE434" s="55">
        <v>0</v>
      </c>
      <c r="BF434" s="55">
        <v>14775207.726083901</v>
      </c>
      <c r="BG434" s="55">
        <v>0</v>
      </c>
      <c r="BH434" s="55"/>
      <c r="BI434" s="55">
        <v>11281898.466324899</v>
      </c>
      <c r="BJ434" s="55">
        <v>8086588.8803274296</v>
      </c>
      <c r="BK434" s="63">
        <v>802166.09443918301</v>
      </c>
      <c r="BL434" s="111">
        <v>1526416.08563985</v>
      </c>
      <c r="BM434" s="110">
        <f t="shared" si="129"/>
        <v>47067749.255339615</v>
      </c>
      <c r="BN434" s="55">
        <v>8299975.9537642198</v>
      </c>
      <c r="BO434" s="55">
        <v>4800122.69708414</v>
      </c>
      <c r="BP434" s="55">
        <v>0</v>
      </c>
      <c r="BQ434" s="55">
        <v>0</v>
      </c>
      <c r="BR434" s="55"/>
      <c r="BS434" s="55"/>
      <c r="BT434" s="55">
        <v>412435.57775988901</v>
      </c>
      <c r="BU434" s="55">
        <v>0</v>
      </c>
      <c r="BV434" s="55">
        <v>11858145.5</v>
      </c>
      <c r="BW434" s="55">
        <v>0</v>
      </c>
      <c r="BX434" s="55"/>
      <c r="BY434" s="55">
        <v>11281898.466324899</v>
      </c>
      <c r="BZ434" s="55">
        <v>8086588.8803274296</v>
      </c>
      <c r="CA434" s="63">
        <v>802166.09443918301</v>
      </c>
      <c r="CB434" s="64">
        <v>1526416.08563985</v>
      </c>
      <c r="CD434" s="114"/>
    </row>
    <row r="435" spans="1:83" s="69" customFormat="1" x14ac:dyDescent="0.25">
      <c r="A435" s="105">
        <f t="shared" ref="A435:A480" si="133">+A434+1</f>
        <v>414</v>
      </c>
      <c r="B435" s="107" t="s">
        <v>455</v>
      </c>
      <c r="C435" s="107" t="s">
        <v>108</v>
      </c>
      <c r="D435" s="107" t="s">
        <v>384</v>
      </c>
      <c r="E435" s="128" t="s">
        <v>340</v>
      </c>
      <c r="F435" s="128"/>
      <c r="G435" s="128" t="s">
        <v>64</v>
      </c>
      <c r="H435" s="128" t="s">
        <v>184</v>
      </c>
      <c r="I435" s="128" t="s">
        <v>184</v>
      </c>
      <c r="J435" s="63">
        <v>2960.3</v>
      </c>
      <c r="K435" s="63">
        <v>2725</v>
      </c>
      <c r="L435" s="63">
        <v>0</v>
      </c>
      <c r="M435" s="129">
        <v>121</v>
      </c>
      <c r="N435" s="108">
        <f t="shared" si="126"/>
        <v>4064726.05558762</v>
      </c>
      <c r="O435" s="63">
        <v>0</v>
      </c>
      <c r="P435" s="63">
        <v>1392525.5544978001</v>
      </c>
      <c r="Q435" s="63">
        <v>0</v>
      </c>
      <c r="R435" s="63">
        <v>193625.18</v>
      </c>
      <c r="S435" s="63">
        <v>2478575.32108982</v>
      </c>
      <c r="T435" s="63"/>
      <c r="U435" s="63">
        <v>8362.46221489454</v>
      </c>
      <c r="V435" s="63">
        <v>8362.46221489454</v>
      </c>
      <c r="W435" s="59">
        <v>2023</v>
      </c>
      <c r="X435" s="69">
        <v>1033423.53</v>
      </c>
      <c r="Y435" s="69">
        <f>+(K435*9.1+L435*18.19)*12</f>
        <v>297570</v>
      </c>
      <c r="AA435" s="70" t="e">
        <v>#REF!</v>
      </c>
      <c r="AD435" s="70" t="e">
        <v>#REF!</v>
      </c>
      <c r="AP435" s="61" t="e">
        <f>+N435-#REF!</f>
        <v>#REF!</v>
      </c>
      <c r="AQ435" s="114">
        <f>1333137.2-R316</f>
        <v>576703.42999999993</v>
      </c>
      <c r="AR435" s="3">
        <f>+(K435*10+L435*20)*12*0.85</f>
        <v>277950</v>
      </c>
      <c r="AS435" s="3">
        <f>+(K435*10+L435*20)*12*30-S316</f>
        <v>5928821.0144123798</v>
      </c>
      <c r="AT435" s="6">
        <f t="shared" si="127"/>
        <v>-3450245.6933225598</v>
      </c>
      <c r="AU435" s="6" t="e">
        <v>#REF!</v>
      </c>
      <c r="AV435" s="6" t="e">
        <v>#REF!</v>
      </c>
      <c r="AW435" s="62">
        <f t="shared" si="128"/>
        <v>20530546.245062128</v>
      </c>
      <c r="AX435" s="7"/>
      <c r="AY435" s="7"/>
      <c r="AZ435" s="7"/>
      <c r="BA435" s="55"/>
      <c r="BB435" s="55">
        <v>1170100.2345370101</v>
      </c>
      <c r="BC435" s="55"/>
      <c r="BD435" s="55"/>
      <c r="BE435" s="55"/>
      <c r="BF435" s="55"/>
      <c r="BG435" s="55"/>
      <c r="BH435" s="55">
        <v>18699028.554937501</v>
      </c>
      <c r="BI435" s="55"/>
      <c r="BJ435" s="55"/>
      <c r="BK435" s="55"/>
      <c r="BL435" s="60">
        <v>661417.45558761898</v>
      </c>
      <c r="BM435" s="62">
        <f t="shared" si="129"/>
        <v>22787709.53558762</v>
      </c>
      <c r="BN435" s="7"/>
      <c r="BO435" s="7"/>
      <c r="BP435" s="7"/>
      <c r="BQ435" s="55"/>
      <c r="BR435" s="55">
        <v>1197372.1000000001</v>
      </c>
      <c r="BS435" s="55"/>
      <c r="BT435" s="55"/>
      <c r="BU435" s="55"/>
      <c r="BV435" s="55"/>
      <c r="BW435" s="55"/>
      <c r="BX435" s="55">
        <v>20928919.98</v>
      </c>
      <c r="BY435" s="55"/>
      <c r="BZ435" s="55"/>
      <c r="CA435" s="55"/>
      <c r="CB435" s="60">
        <v>661417.45558761898</v>
      </c>
      <c r="CD435" s="114"/>
    </row>
    <row r="436" spans="1:83" x14ac:dyDescent="0.25">
      <c r="A436" s="105">
        <f t="shared" si="133"/>
        <v>415</v>
      </c>
      <c r="B436" s="107">
        <v>205</v>
      </c>
      <c r="C436" s="53" t="s">
        <v>108</v>
      </c>
      <c r="D436" s="53" t="s">
        <v>195</v>
      </c>
      <c r="E436" s="54">
        <v>1974</v>
      </c>
      <c r="F436" s="54">
        <v>2013</v>
      </c>
      <c r="G436" s="54" t="s">
        <v>64</v>
      </c>
      <c r="H436" s="54">
        <v>4</v>
      </c>
      <c r="I436" s="54">
        <v>4</v>
      </c>
      <c r="J436" s="55">
        <v>3940.9</v>
      </c>
      <c r="K436" s="55">
        <v>3373.8</v>
      </c>
      <c r="L436" s="55">
        <v>212.7</v>
      </c>
      <c r="M436" s="56">
        <v>140</v>
      </c>
      <c r="N436" s="112">
        <f t="shared" si="126"/>
        <v>1849287.58624074</v>
      </c>
      <c r="O436" s="55"/>
      <c r="P436" s="63"/>
      <c r="Q436" s="63"/>
      <c r="R436" s="63">
        <v>396466.4</v>
      </c>
      <c r="S436" s="63">
        <v>1452821.1862407399</v>
      </c>
      <c r="T436" s="63"/>
      <c r="U436" s="55">
        <v>1279.0181196823501</v>
      </c>
      <c r="V436" s="55">
        <v>1279.0181196823501</v>
      </c>
      <c r="W436" s="59">
        <v>2023</v>
      </c>
      <c r="X436" s="6" t="e">
        <v>#REF!</v>
      </c>
      <c r="Z436" s="62">
        <f>SUM(AA436:AO436)</f>
        <v>62533714.20789399</v>
      </c>
      <c r="AA436" s="55">
        <v>6056878.3300000001</v>
      </c>
      <c r="AB436" s="55">
        <v>3324136.3562038802</v>
      </c>
      <c r="AC436" s="55">
        <v>3513858.2605085401</v>
      </c>
      <c r="AD436" s="55">
        <v>2679346.7940094802</v>
      </c>
      <c r="AE436" s="55">
        <v>1070344.1973180601</v>
      </c>
      <c r="AF436" s="55"/>
      <c r="AG436" s="55">
        <v>285608.94385380001</v>
      </c>
      <c r="AH436" s="55">
        <v>0</v>
      </c>
      <c r="AI436" s="55">
        <v>10232040.6523188</v>
      </c>
      <c r="AJ436" s="55">
        <v>0</v>
      </c>
      <c r="AK436" s="55">
        <v>19865564.963810999</v>
      </c>
      <c r="AL436" s="55">
        <v>7812871.9105562996</v>
      </c>
      <c r="AM436" s="55">
        <v>5963728.8811999997</v>
      </c>
      <c r="AN436" s="63">
        <v>570673.40870000003</v>
      </c>
      <c r="AO436" s="64">
        <v>1158661.5094141399</v>
      </c>
      <c r="AP436" s="61">
        <f>+N436-'Приложение №2'!E436</f>
        <v>0</v>
      </c>
      <c r="AQ436" s="6">
        <f>1707386.79-112573.23-R132</f>
        <v>-387518.39999999991</v>
      </c>
      <c r="AR436" s="3">
        <f>+(K436*10+L436*20)*12*0.85</f>
        <v>387518.39999999997</v>
      </c>
      <c r="AS436" s="3">
        <f>+(K436*10+L436*20)*12*30-810211.65-S132</f>
        <v>2324580.0037593003</v>
      </c>
      <c r="AT436" s="6">
        <f t="shared" si="127"/>
        <v>-871758.81751856045</v>
      </c>
      <c r="AU436" s="6" t="e">
        <v>#REF!</v>
      </c>
      <c r="AV436" s="6" t="e">
        <v>#REF!</v>
      </c>
      <c r="AW436" s="62">
        <f t="shared" si="128"/>
        <v>4587198.4862407399</v>
      </c>
      <c r="AX436" s="55"/>
      <c r="AY436" s="55">
        <v>1950514.3</v>
      </c>
      <c r="AZ436" s="55"/>
      <c r="BA436" s="55">
        <v>1578269.9</v>
      </c>
      <c r="BB436" s="55"/>
      <c r="BC436" s="55"/>
      <c r="BD436" s="55"/>
      <c r="BE436" s="55"/>
      <c r="BF436" s="55"/>
      <c r="BG436" s="55"/>
      <c r="BH436" s="55"/>
      <c r="BI436" s="55"/>
      <c r="BJ436" s="55"/>
      <c r="BK436" s="63"/>
      <c r="BL436" s="111">
        <v>1058414.28624074</v>
      </c>
      <c r="BM436" s="62">
        <f t="shared" si="129"/>
        <v>4587198.4862407399</v>
      </c>
      <c r="BN436" s="55"/>
      <c r="BO436" s="55">
        <v>1950514.3</v>
      </c>
      <c r="BP436" s="55"/>
      <c r="BQ436" s="55">
        <v>1578269.9</v>
      </c>
      <c r="BR436" s="55"/>
      <c r="BS436" s="55"/>
      <c r="BT436" s="55"/>
      <c r="BU436" s="55"/>
      <c r="BV436" s="55"/>
      <c r="BW436" s="55"/>
      <c r="BX436" s="55"/>
      <c r="BY436" s="55"/>
      <c r="BZ436" s="55"/>
      <c r="CA436" s="63"/>
      <c r="CB436" s="64">
        <v>1058414.28624074</v>
      </c>
      <c r="CD436" s="3"/>
    </row>
    <row r="437" spans="1:83" x14ac:dyDescent="0.25">
      <c r="A437" s="105">
        <f t="shared" si="133"/>
        <v>416</v>
      </c>
      <c r="B437" s="107" t="s">
        <v>455</v>
      </c>
      <c r="C437" s="107" t="s">
        <v>108</v>
      </c>
      <c r="D437" s="107" t="s">
        <v>387</v>
      </c>
      <c r="E437" s="54">
        <v>1994</v>
      </c>
      <c r="F437" s="54">
        <v>2005</v>
      </c>
      <c r="G437" s="54" t="s">
        <v>64</v>
      </c>
      <c r="H437" s="54">
        <v>5</v>
      </c>
      <c r="I437" s="54">
        <v>2</v>
      </c>
      <c r="J437" s="55">
        <v>2052</v>
      </c>
      <c r="K437" s="55">
        <v>1876.9</v>
      </c>
      <c r="L437" s="55">
        <v>0</v>
      </c>
      <c r="M437" s="56">
        <v>80</v>
      </c>
      <c r="N437" s="108">
        <f t="shared" si="126"/>
        <v>8154575.1984415194</v>
      </c>
      <c r="O437" s="63"/>
      <c r="P437" s="63">
        <v>3592852.06</v>
      </c>
      <c r="Q437" s="63"/>
      <c r="R437" s="63">
        <v>866180.65</v>
      </c>
      <c r="S437" s="63">
        <v>3249266.3594415202</v>
      </c>
      <c r="T437" s="63">
        <v>446276.12900000002</v>
      </c>
      <c r="U437" s="63">
        <v>14282.406253241399</v>
      </c>
      <c r="V437" s="63">
        <v>1336.2830200640001</v>
      </c>
      <c r="W437" s="59">
        <v>2023</v>
      </c>
      <c r="X437" s="6" t="e">
        <v>#REF!</v>
      </c>
      <c r="Z437" s="62">
        <f>SUM(AA437:AO437)</f>
        <v>30419518.07</v>
      </c>
      <c r="AA437" s="55">
        <v>4454647.72709502</v>
      </c>
      <c r="AB437" s="55">
        <v>1587374.11791714</v>
      </c>
      <c r="AC437" s="55">
        <v>1658452.76095254</v>
      </c>
      <c r="AD437" s="55">
        <v>1038296.28299628</v>
      </c>
      <c r="AE437" s="55">
        <v>635267.56802165997</v>
      </c>
      <c r="AF437" s="55"/>
      <c r="AG437" s="55">
        <v>170937.02604636</v>
      </c>
      <c r="AH437" s="55">
        <v>0</v>
      </c>
      <c r="AI437" s="55">
        <v>8143773.8420051998</v>
      </c>
      <c r="AJ437" s="55">
        <v>0</v>
      </c>
      <c r="AK437" s="55">
        <v>4228285.0782631198</v>
      </c>
      <c r="AL437" s="55">
        <v>4560700.3930828199</v>
      </c>
      <c r="AM437" s="55">
        <v>3058573.6593999998</v>
      </c>
      <c r="AN437" s="63">
        <v>304195.18070000003</v>
      </c>
      <c r="AO437" s="64">
        <v>579014.43351986003</v>
      </c>
      <c r="AP437" s="61">
        <f>+N437-'Приложение №2'!E424</f>
        <v>2748221.5515325991</v>
      </c>
      <c r="AQ437" s="1">
        <v>1111921.7</v>
      </c>
      <c r="AR437" s="3">
        <f>+(K437*10.5+L437*21)*12*0.85</f>
        <v>201015.99000000002</v>
      </c>
      <c r="AS437" s="3">
        <f>+(K437*10.5+L437*21)*12*30</f>
        <v>7094682.0000000009</v>
      </c>
      <c r="AT437" s="6">
        <f t="shared" si="127"/>
        <v>-3845415.6405584808</v>
      </c>
      <c r="AU437" s="6" t="e">
        <v>#REF!</v>
      </c>
      <c r="AV437" s="6" t="e">
        <v>#REF!</v>
      </c>
      <c r="AW437" s="110">
        <f t="shared" si="128"/>
        <v>26806648.296708696</v>
      </c>
      <c r="AX437" s="55">
        <v>4762837.5999999996</v>
      </c>
      <c r="AY437" s="55">
        <v>1587374.11791714</v>
      </c>
      <c r="AZ437" s="55">
        <v>1658452.76095254</v>
      </c>
      <c r="BA437" s="55">
        <v>1129165.06</v>
      </c>
      <c r="BB437" s="55"/>
      <c r="BC437" s="55"/>
      <c r="BD437" s="55">
        <v>170937.02604636</v>
      </c>
      <c r="BE437" s="55">
        <v>0</v>
      </c>
      <c r="BF437" s="55">
        <v>8143773.8420051998</v>
      </c>
      <c r="BG437" s="55">
        <v>0</v>
      </c>
      <c r="BH437" s="55">
        <v>4228285.0782631198</v>
      </c>
      <c r="BI437" s="55">
        <v>4560700.3930828199</v>
      </c>
      <c r="BJ437" s="55"/>
      <c r="BK437" s="63"/>
      <c r="BL437" s="111">
        <v>565122.41844151996</v>
      </c>
      <c r="BM437" s="110">
        <f t="shared" si="129"/>
        <v>26806648.296708696</v>
      </c>
      <c r="BN437" s="55">
        <v>4762837.5999999996</v>
      </c>
      <c r="BO437" s="55">
        <v>1587374.11791714</v>
      </c>
      <c r="BP437" s="55">
        <v>1658452.76095254</v>
      </c>
      <c r="BQ437" s="55">
        <v>1129165.06</v>
      </c>
      <c r="BR437" s="55"/>
      <c r="BS437" s="55"/>
      <c r="BT437" s="55">
        <v>170937.02604636</v>
      </c>
      <c r="BU437" s="55">
        <v>0</v>
      </c>
      <c r="BV437" s="55">
        <v>8143773.8420051998</v>
      </c>
      <c r="BW437" s="55">
        <v>0</v>
      </c>
      <c r="BX437" s="55">
        <v>4228285.0782631198</v>
      </c>
      <c r="BY437" s="55">
        <v>4560700.3930828199</v>
      </c>
      <c r="BZ437" s="55"/>
      <c r="CA437" s="63"/>
      <c r="CB437" s="64">
        <v>565122.41844151996</v>
      </c>
      <c r="CD437" s="6"/>
      <c r="CE437" s="3"/>
    </row>
    <row r="438" spans="1:83" x14ac:dyDescent="0.25">
      <c r="A438" s="105">
        <f t="shared" si="133"/>
        <v>417</v>
      </c>
      <c r="B438" s="107">
        <v>206</v>
      </c>
      <c r="C438" s="141" t="s">
        <v>197</v>
      </c>
      <c r="D438" s="141" t="s">
        <v>200</v>
      </c>
      <c r="E438" s="140">
        <v>1969</v>
      </c>
      <c r="F438" s="140">
        <v>2013</v>
      </c>
      <c r="G438" s="140" t="s">
        <v>64</v>
      </c>
      <c r="H438" s="140">
        <v>4</v>
      </c>
      <c r="I438" s="140">
        <v>4</v>
      </c>
      <c r="J438" s="144">
        <v>3016.9</v>
      </c>
      <c r="K438" s="144">
        <v>2778.3</v>
      </c>
      <c r="L438" s="144">
        <v>0</v>
      </c>
      <c r="M438" s="145">
        <v>148</v>
      </c>
      <c r="N438" s="112">
        <f t="shared" si="126"/>
        <v>1505175.2862806199</v>
      </c>
      <c r="O438" s="144"/>
      <c r="P438" s="144">
        <v>582922.99</v>
      </c>
      <c r="Q438" s="63"/>
      <c r="R438" s="63">
        <v>618112.69999999995</v>
      </c>
      <c r="S438" s="63">
        <v>304139.59628062003</v>
      </c>
      <c r="T438" s="63"/>
      <c r="U438" s="63">
        <v>908.50345653817101</v>
      </c>
      <c r="V438" s="63">
        <v>1343.2830200640001</v>
      </c>
      <c r="W438" s="59">
        <v>2023</v>
      </c>
      <c r="X438" s="6" t="e">
        <v>#REF!</v>
      </c>
      <c r="Y438" s="1" t="s">
        <v>201</v>
      </c>
      <c r="Z438" s="62">
        <f>SUM(AA438:AO438)</f>
        <v>43468971.050000004</v>
      </c>
      <c r="AA438" s="55">
        <v>6634698.5656060204</v>
      </c>
      <c r="AB438" s="55">
        <v>2364215.8595970599</v>
      </c>
      <c r="AC438" s="55">
        <v>2470079.5170193799</v>
      </c>
      <c r="AD438" s="55">
        <v>0</v>
      </c>
      <c r="AE438" s="55">
        <v>946159.85291436</v>
      </c>
      <c r="AF438" s="55"/>
      <c r="AG438" s="55">
        <v>254591.55199296001</v>
      </c>
      <c r="AH438" s="55">
        <v>0</v>
      </c>
      <c r="AI438" s="55">
        <v>12129238.4675742</v>
      </c>
      <c r="AJ438" s="55">
        <v>0</v>
      </c>
      <c r="AK438" s="55">
        <v>6297556.7640778804</v>
      </c>
      <c r="AL438" s="55">
        <v>6792652.1243855404</v>
      </c>
      <c r="AM438" s="55">
        <v>4316528.7304999996</v>
      </c>
      <c r="AN438" s="63">
        <v>434689.71049999999</v>
      </c>
      <c r="AO438" s="64">
        <v>828559.90583259996</v>
      </c>
      <c r="AP438" s="61">
        <f>+N438-'Приложение №2'!E438</f>
        <v>0</v>
      </c>
      <c r="AQ438" s="6">
        <f>1456293.05-R136</f>
        <v>608495.85000000009</v>
      </c>
      <c r="AR438" s="3">
        <f>+(K438*10.5+L438*21)*12*0.85</f>
        <v>297555.93000000005</v>
      </c>
      <c r="AS438" s="3">
        <f>+(K438*10.5+L438*21)*12*30-7837046.47-R136</f>
        <v>1817130.3300000022</v>
      </c>
      <c r="AT438" s="6">
        <f t="shared" si="127"/>
        <v>-1512990.7337193822</v>
      </c>
      <c r="AU438" s="6" t="e">
        <v>#REF!</v>
      </c>
      <c r="AV438" s="6" t="e">
        <v>#REF!</v>
      </c>
      <c r="AW438" s="110">
        <f t="shared" si="128"/>
        <v>2524095.1532999999</v>
      </c>
      <c r="AX438" s="55"/>
      <c r="AY438" s="55"/>
      <c r="AZ438" s="55">
        <v>2470079.5170193799</v>
      </c>
      <c r="BA438" s="55">
        <v>0</v>
      </c>
      <c r="BB438" s="55"/>
      <c r="BC438" s="55"/>
      <c r="BD438" s="55"/>
      <c r="BE438" s="55"/>
      <c r="BF438" s="55"/>
      <c r="BG438" s="55"/>
      <c r="BH438" s="55"/>
      <c r="BI438" s="55"/>
      <c r="BJ438" s="55"/>
      <c r="BK438" s="63"/>
      <c r="BL438" s="111">
        <v>54015.636280619998</v>
      </c>
      <c r="BM438" s="62">
        <f t="shared" si="129"/>
        <v>2524095.1532999999</v>
      </c>
      <c r="BN438" s="55"/>
      <c r="BO438" s="55"/>
      <c r="BP438" s="55">
        <v>2470079.5170193799</v>
      </c>
      <c r="BQ438" s="55">
        <v>0</v>
      </c>
      <c r="BR438" s="55"/>
      <c r="BS438" s="55"/>
      <c r="BT438" s="55"/>
      <c r="BU438" s="55"/>
      <c r="BV438" s="55"/>
      <c r="BW438" s="55"/>
      <c r="BX438" s="55"/>
      <c r="BY438" s="55"/>
      <c r="BZ438" s="55"/>
      <c r="CA438" s="63"/>
      <c r="CB438" s="64">
        <v>54015.636280619998</v>
      </c>
      <c r="CD438" s="6"/>
    </row>
    <row r="439" spans="1:83" x14ac:dyDescent="0.25">
      <c r="A439" s="105">
        <f t="shared" si="133"/>
        <v>418</v>
      </c>
      <c r="B439" s="107">
        <f t="shared" ref="B439:B451" si="134">+B438+1</f>
        <v>207</v>
      </c>
      <c r="C439" s="141" t="s">
        <v>197</v>
      </c>
      <c r="D439" s="141" t="s">
        <v>203</v>
      </c>
      <c r="E439" s="140">
        <v>1962</v>
      </c>
      <c r="F439" s="140">
        <v>1962</v>
      </c>
      <c r="G439" s="140" t="s">
        <v>64</v>
      </c>
      <c r="H439" s="140">
        <v>2</v>
      </c>
      <c r="I439" s="140">
        <v>1</v>
      </c>
      <c r="J439" s="144">
        <v>618.70000000000005</v>
      </c>
      <c r="K439" s="144">
        <v>460.5</v>
      </c>
      <c r="L439" s="144">
        <v>0</v>
      </c>
      <c r="M439" s="145">
        <v>45</v>
      </c>
      <c r="N439" s="112">
        <f t="shared" si="126"/>
        <v>545697.48525411997</v>
      </c>
      <c r="O439" s="144"/>
      <c r="P439" s="144">
        <v>0</v>
      </c>
      <c r="Q439" s="63"/>
      <c r="R439" s="63">
        <v>0</v>
      </c>
      <c r="S439" s="3">
        <v>545697.48525411997</v>
      </c>
      <c r="T439" s="63"/>
      <c r="U439" s="63">
        <v>912.77514831704696</v>
      </c>
      <c r="V439" s="63">
        <v>1344.2830200640001</v>
      </c>
      <c r="W439" s="59">
        <v>2023</v>
      </c>
      <c r="X439" s="6" t="e">
        <v>#REF!</v>
      </c>
      <c r="Z439" s="62">
        <f>SUM(AA439:AO439)</f>
        <v>6521557.4500000011</v>
      </c>
      <c r="AA439" s="55">
        <v>0</v>
      </c>
      <c r="AB439" s="55">
        <v>875995.49980991997</v>
      </c>
      <c r="AC439" s="55">
        <v>411337.83054588002</v>
      </c>
      <c r="AD439" s="55">
        <v>350714.74954488</v>
      </c>
      <c r="AE439" s="55">
        <v>0</v>
      </c>
      <c r="AF439" s="55"/>
      <c r="AG439" s="55">
        <v>0</v>
      </c>
      <c r="AH439" s="55">
        <v>0</v>
      </c>
      <c r="AI439" s="55">
        <v>4074971.6952378</v>
      </c>
      <c r="AJ439" s="55">
        <v>0</v>
      </c>
      <c r="AK439" s="55">
        <v>0</v>
      </c>
      <c r="AL439" s="55">
        <v>0</v>
      </c>
      <c r="AM439" s="55">
        <v>618389.92870000005</v>
      </c>
      <c r="AN439" s="63">
        <v>65215.574500000002</v>
      </c>
      <c r="AO439" s="64">
        <v>124932.17166152</v>
      </c>
      <c r="AP439" s="61">
        <f>+N439-'Приложение №2'!E439</f>
        <v>0</v>
      </c>
      <c r="AQ439" s="6">
        <f>248516.58-R138</f>
        <v>-4385.1700000000128</v>
      </c>
      <c r="AR439" s="3">
        <f>+(K439*10.5+L439*21)*12*0.85</f>
        <v>49319.549999999996</v>
      </c>
      <c r="AS439" s="3">
        <f>+(K439*10.5+L439*21)*12*30-R138</f>
        <v>1487788.25</v>
      </c>
      <c r="AT439" s="6">
        <f t="shared" si="127"/>
        <v>-942090.76474588003</v>
      </c>
      <c r="AU439" s="6" t="e">
        <v>#REF!</v>
      </c>
      <c r="AV439" s="6" t="e">
        <v>#REF!</v>
      </c>
      <c r="AW439" s="110">
        <f t="shared" si="128"/>
        <v>420332.9558</v>
      </c>
      <c r="AX439" s="55">
        <v>0</v>
      </c>
      <c r="AY439" s="55"/>
      <c r="AZ439" s="55">
        <v>411337.83054588002</v>
      </c>
      <c r="BA439" s="55"/>
      <c r="BB439" s="55">
        <v>0</v>
      </c>
      <c r="BC439" s="55"/>
      <c r="BD439" s="55"/>
      <c r="BE439" s="55">
        <v>0</v>
      </c>
      <c r="BF439" s="55"/>
      <c r="BG439" s="55">
        <v>0</v>
      </c>
      <c r="BH439" s="55">
        <v>0</v>
      </c>
      <c r="BI439" s="55">
        <v>0</v>
      </c>
      <c r="BJ439" s="55"/>
      <c r="BK439" s="63"/>
      <c r="BL439" s="111">
        <v>8995.1252541199992</v>
      </c>
      <c r="BM439" s="62">
        <f t="shared" si="129"/>
        <v>420332.9558</v>
      </c>
      <c r="BN439" s="55">
        <v>0</v>
      </c>
      <c r="BO439" s="55"/>
      <c r="BP439" s="55">
        <v>411337.83054588002</v>
      </c>
      <c r="BQ439" s="55"/>
      <c r="BR439" s="55">
        <v>0</v>
      </c>
      <c r="BS439" s="55"/>
      <c r="BT439" s="55"/>
      <c r="BU439" s="55">
        <v>0</v>
      </c>
      <c r="BV439" s="55"/>
      <c r="BW439" s="55">
        <v>0</v>
      </c>
      <c r="BX439" s="55">
        <v>0</v>
      </c>
      <c r="BY439" s="55">
        <v>0</v>
      </c>
      <c r="BZ439" s="55"/>
      <c r="CA439" s="63"/>
      <c r="CB439" s="64">
        <v>8995.1252541199992</v>
      </c>
      <c r="CD439" s="3"/>
    </row>
    <row r="440" spans="1:83" x14ac:dyDescent="0.25">
      <c r="A440" s="105">
        <f t="shared" si="133"/>
        <v>419</v>
      </c>
      <c r="B440" s="107">
        <f t="shared" si="134"/>
        <v>208</v>
      </c>
      <c r="C440" s="141" t="s">
        <v>389</v>
      </c>
      <c r="D440" s="141" t="s">
        <v>478</v>
      </c>
      <c r="E440" s="140" t="s">
        <v>479</v>
      </c>
      <c r="F440" s="140"/>
      <c r="G440" s="140" t="s">
        <v>64</v>
      </c>
      <c r="H440" s="140" t="s">
        <v>102</v>
      </c>
      <c r="I440" s="140" t="s">
        <v>102</v>
      </c>
      <c r="J440" s="141">
        <v>706.48</v>
      </c>
      <c r="K440" s="141">
        <v>667.89</v>
      </c>
      <c r="L440" s="141">
        <v>0</v>
      </c>
      <c r="M440" s="141">
        <v>23</v>
      </c>
      <c r="N440" s="112">
        <f t="shared" si="126"/>
        <v>5303856.8084860668</v>
      </c>
      <c r="O440" s="141"/>
      <c r="P440" s="55">
        <v>1791115.96</v>
      </c>
      <c r="Q440" s="63">
        <v>507855.56</v>
      </c>
      <c r="R440" s="63">
        <v>480261.08848606702</v>
      </c>
      <c r="S440" s="63">
        <v>2524624.2000000002</v>
      </c>
      <c r="T440" s="7"/>
      <c r="U440" s="63">
        <v>8421.7620819582007</v>
      </c>
      <c r="V440" s="63">
        <v>8421.7620819582007</v>
      </c>
      <c r="W440" s="59">
        <v>2023</v>
      </c>
      <c r="X440" s="6"/>
      <c r="Z440" s="62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63"/>
      <c r="AO440" s="64"/>
      <c r="AP440" s="61"/>
      <c r="AQ440" s="1">
        <v>381479.63</v>
      </c>
      <c r="AR440" s="3">
        <v>71531.019</v>
      </c>
      <c r="AS440" s="3">
        <v>2524624.2000000002</v>
      </c>
      <c r="AT440" s="6">
        <f t="shared" si="127"/>
        <v>0</v>
      </c>
      <c r="AW440" s="62">
        <f t="shared" ref="AW440:AW445" si="135">SUM(AX440:BL440)</f>
        <v>5624810.676919058</v>
      </c>
      <c r="BH440" s="55">
        <v>5496610.9284329899</v>
      </c>
      <c r="BJ440" s="55"/>
      <c r="BK440" s="63">
        <v>8000</v>
      </c>
      <c r="BL440" s="111">
        <v>120199.748486068</v>
      </c>
      <c r="BM440" s="62">
        <f t="shared" ref="BM440:BM445" si="136">SUM(BN440:CB440)</f>
        <v>5624810.676919058</v>
      </c>
      <c r="BN440" s="53"/>
      <c r="BO440" s="53"/>
      <c r="BP440" s="53"/>
      <c r="BQ440" s="53"/>
      <c r="BR440" s="53"/>
      <c r="BS440" s="53"/>
      <c r="BT440" s="53"/>
      <c r="BU440" s="53"/>
      <c r="BV440" s="53"/>
      <c r="BW440" s="53"/>
      <c r="BX440" s="55">
        <v>5496610.9284329899</v>
      </c>
      <c r="BY440" s="53"/>
      <c r="BZ440" s="55"/>
      <c r="CA440" s="63">
        <v>8000</v>
      </c>
      <c r="CB440" s="64">
        <v>120199.748486068</v>
      </c>
      <c r="CE440" s="3"/>
    </row>
    <row r="441" spans="1:83" x14ac:dyDescent="0.25">
      <c r="A441" s="105">
        <f t="shared" si="133"/>
        <v>420</v>
      </c>
      <c r="B441" s="107">
        <f t="shared" si="134"/>
        <v>209</v>
      </c>
      <c r="C441" s="141" t="s">
        <v>389</v>
      </c>
      <c r="D441" s="141" t="s">
        <v>480</v>
      </c>
      <c r="E441" s="140" t="s">
        <v>479</v>
      </c>
      <c r="F441" s="140"/>
      <c r="G441" s="140" t="s">
        <v>64</v>
      </c>
      <c r="H441" s="140" t="s">
        <v>102</v>
      </c>
      <c r="I441" s="140" t="s">
        <v>102</v>
      </c>
      <c r="J441" s="141">
        <v>685.95</v>
      </c>
      <c r="K441" s="141">
        <v>641.14</v>
      </c>
      <c r="L441" s="141">
        <v>0</v>
      </c>
      <c r="M441" s="141">
        <v>27</v>
      </c>
      <c r="N441" s="112">
        <f t="shared" si="126"/>
        <v>4868121.7975999899</v>
      </c>
      <c r="O441" s="141"/>
      <c r="P441" s="55">
        <v>1430686.83</v>
      </c>
      <c r="Q441" s="63">
        <v>507855.56</v>
      </c>
      <c r="R441" s="63">
        <v>506070.20759999001</v>
      </c>
      <c r="S441" s="63">
        <v>2423509.2000000002</v>
      </c>
      <c r="T441" s="7"/>
      <c r="U441" s="63">
        <v>8422.2618355906307</v>
      </c>
      <c r="V441" s="63">
        <v>8422.2618355906307</v>
      </c>
      <c r="W441" s="59">
        <v>2023</v>
      </c>
      <c r="X441" s="6"/>
      <c r="Z441" s="62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63"/>
      <c r="AO441" s="64"/>
      <c r="AP441" s="61"/>
      <c r="AQ441" s="1">
        <v>374519.63</v>
      </c>
      <c r="AR441" s="3">
        <v>68666.093999999997</v>
      </c>
      <c r="AS441" s="3">
        <v>2423509.2000000002</v>
      </c>
      <c r="AT441" s="6">
        <f t="shared" si="127"/>
        <v>0</v>
      </c>
      <c r="AW441" s="62">
        <f t="shared" si="135"/>
        <v>5399848.9532705806</v>
      </c>
      <c r="BH441" s="55">
        <v>5276463.3856705902</v>
      </c>
      <c r="BJ441" s="55"/>
      <c r="BK441" s="63">
        <v>8000</v>
      </c>
      <c r="BL441" s="111">
        <v>115385.56759999</v>
      </c>
      <c r="BM441" s="62">
        <f t="shared" si="136"/>
        <v>5399848.9532705806</v>
      </c>
      <c r="BN441" s="53"/>
      <c r="BO441" s="53"/>
      <c r="BP441" s="53"/>
      <c r="BQ441" s="53"/>
      <c r="BR441" s="53"/>
      <c r="BS441" s="53"/>
      <c r="BT441" s="53"/>
      <c r="BU441" s="53"/>
      <c r="BV441" s="53"/>
      <c r="BW441" s="53"/>
      <c r="BX441" s="55">
        <v>5276463.3856705902</v>
      </c>
      <c r="BY441" s="53"/>
      <c r="BZ441" s="55"/>
      <c r="CA441" s="63">
        <v>8000</v>
      </c>
      <c r="CB441" s="64">
        <v>115385.56759999</v>
      </c>
      <c r="CD441" s="3"/>
      <c r="CE441" s="3"/>
    </row>
    <row r="442" spans="1:83" x14ac:dyDescent="0.25">
      <c r="A442" s="105">
        <f t="shared" si="133"/>
        <v>421</v>
      </c>
      <c r="B442" s="107">
        <f t="shared" si="134"/>
        <v>210</v>
      </c>
      <c r="C442" s="141" t="s">
        <v>389</v>
      </c>
      <c r="D442" s="141" t="s">
        <v>481</v>
      </c>
      <c r="E442" s="140" t="s">
        <v>482</v>
      </c>
      <c r="F442" s="140"/>
      <c r="G442" s="140" t="s">
        <v>64</v>
      </c>
      <c r="H442" s="140" t="s">
        <v>102</v>
      </c>
      <c r="I442" s="140" t="s">
        <v>102</v>
      </c>
      <c r="J442" s="141">
        <v>785.98</v>
      </c>
      <c r="K442" s="141">
        <v>722.6</v>
      </c>
      <c r="L442" s="141">
        <v>0</v>
      </c>
      <c r="M442" s="141">
        <v>29</v>
      </c>
      <c r="N442" s="112">
        <f t="shared" si="126"/>
        <v>4977253.8532067146</v>
      </c>
      <c r="O442" s="141"/>
      <c r="P442" s="55">
        <v>1189850.69</v>
      </c>
      <c r="Q442" s="63">
        <v>507855.56</v>
      </c>
      <c r="R442" s="63">
        <v>548119.60320671403</v>
      </c>
      <c r="S442" s="63">
        <v>2731428</v>
      </c>
      <c r="T442" s="7"/>
      <c r="U442" s="63">
        <v>8420.8551936487602</v>
      </c>
      <c r="V442" s="63">
        <v>8420.8551936487602</v>
      </c>
      <c r="W442" s="59">
        <v>2023</v>
      </c>
      <c r="X442" s="6"/>
      <c r="Z442" s="62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63"/>
      <c r="AO442" s="64"/>
      <c r="AP442" s="61"/>
      <c r="AQ442" s="1">
        <v>408593.99</v>
      </c>
      <c r="AR442" s="3">
        <v>77390.460000000006</v>
      </c>
      <c r="AS442" s="3">
        <v>2731428</v>
      </c>
      <c r="AT442" s="6">
        <f t="shared" si="127"/>
        <v>0</v>
      </c>
      <c r="AW442" s="62">
        <f t="shared" si="135"/>
        <v>6084909.9629305955</v>
      </c>
      <c r="BH442" s="55">
        <v>5946864.0897238804</v>
      </c>
      <c r="BJ442" s="55"/>
      <c r="BK442" s="63">
        <v>8000</v>
      </c>
      <c r="BL442" s="111">
        <v>130045.873206715</v>
      </c>
      <c r="BM442" s="62">
        <f t="shared" si="136"/>
        <v>6084909.9629305955</v>
      </c>
      <c r="BN442" s="53"/>
      <c r="BO442" s="53"/>
      <c r="BP442" s="53"/>
      <c r="BQ442" s="53"/>
      <c r="BR442" s="53"/>
      <c r="BS442" s="53"/>
      <c r="BT442" s="53"/>
      <c r="BU442" s="53"/>
      <c r="BV442" s="53"/>
      <c r="BW442" s="53"/>
      <c r="BX442" s="55">
        <v>5946864.0897238804</v>
      </c>
      <c r="BY442" s="53"/>
      <c r="BZ442" s="55"/>
      <c r="CA442" s="63">
        <v>8000</v>
      </c>
      <c r="CB442" s="64">
        <v>130045.873206715</v>
      </c>
      <c r="CD442" s="6"/>
      <c r="CE442" s="3"/>
    </row>
    <row r="443" spans="1:83" x14ac:dyDescent="0.25">
      <c r="A443" s="105">
        <f t="shared" si="133"/>
        <v>422</v>
      </c>
      <c r="B443" s="107">
        <f t="shared" si="134"/>
        <v>211</v>
      </c>
      <c r="C443" s="141" t="s">
        <v>389</v>
      </c>
      <c r="D443" s="141" t="s">
        <v>483</v>
      </c>
      <c r="E443" s="140" t="s">
        <v>482</v>
      </c>
      <c r="F443" s="140"/>
      <c r="G443" s="140" t="s">
        <v>64</v>
      </c>
      <c r="H443" s="140" t="s">
        <v>102</v>
      </c>
      <c r="I443" s="140" t="s">
        <v>102</v>
      </c>
      <c r="J443" s="141">
        <v>691.94</v>
      </c>
      <c r="K443" s="141">
        <v>653.61</v>
      </c>
      <c r="L443" s="141">
        <v>0</v>
      </c>
      <c r="M443" s="141">
        <v>26</v>
      </c>
      <c r="N443" s="112">
        <f t="shared" si="126"/>
        <v>4871089.8257551072</v>
      </c>
      <c r="O443" s="141"/>
      <c r="P443" s="55">
        <v>1369860.41</v>
      </c>
      <c r="Q443" s="63">
        <v>507855.56</v>
      </c>
      <c r="R443" s="63">
        <v>579238.63575510704</v>
      </c>
      <c r="S443" s="63">
        <v>2414135.2200000002</v>
      </c>
      <c r="T443" s="7"/>
      <c r="U443" s="63">
        <v>8422.02377644015</v>
      </c>
      <c r="V443" s="63">
        <v>8422.02377644015</v>
      </c>
      <c r="W443" s="59">
        <v>2023</v>
      </c>
      <c r="X443" s="6"/>
      <c r="Z443" s="62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5"/>
      <c r="AN443" s="63"/>
      <c r="AO443" s="64"/>
      <c r="AP443" s="61"/>
      <c r="AQ443" s="1">
        <v>396107.32</v>
      </c>
      <c r="AR443" s="3">
        <v>70001.630999999994</v>
      </c>
      <c r="AS443" s="3">
        <v>2470645.7999999998</v>
      </c>
      <c r="AT443" s="6">
        <f t="shared" si="127"/>
        <v>-56510.579999999609</v>
      </c>
      <c r="AW443" s="62">
        <f t="shared" si="135"/>
        <v>5504718.9605190484</v>
      </c>
      <c r="BH443" s="55">
        <v>5379089.1747639403</v>
      </c>
      <c r="BJ443" s="55"/>
      <c r="BK443" s="63">
        <v>8000</v>
      </c>
      <c r="BL443" s="111">
        <v>117629.78575510799</v>
      </c>
      <c r="BM443" s="62">
        <f t="shared" si="136"/>
        <v>5504718.9605190484</v>
      </c>
      <c r="BN443" s="53"/>
      <c r="BO443" s="53"/>
      <c r="BP443" s="53"/>
      <c r="BQ443" s="53"/>
      <c r="BR443" s="53"/>
      <c r="BS443" s="53"/>
      <c r="BT443" s="53"/>
      <c r="BU443" s="53"/>
      <c r="BV443" s="53"/>
      <c r="BW443" s="53"/>
      <c r="BX443" s="55">
        <v>5379089.1747639403</v>
      </c>
      <c r="BY443" s="53"/>
      <c r="BZ443" s="55"/>
      <c r="CA443" s="63">
        <v>8000</v>
      </c>
      <c r="CB443" s="64">
        <v>117629.78575510799</v>
      </c>
      <c r="CD443" s="6"/>
      <c r="CE443" s="3"/>
    </row>
    <row r="444" spans="1:83" x14ac:dyDescent="0.25">
      <c r="A444" s="105">
        <f t="shared" si="133"/>
        <v>423</v>
      </c>
      <c r="B444" s="107">
        <f t="shared" si="134"/>
        <v>212</v>
      </c>
      <c r="C444" s="141" t="s">
        <v>389</v>
      </c>
      <c r="D444" s="141" t="s">
        <v>484</v>
      </c>
      <c r="E444" s="140" t="s">
        <v>485</v>
      </c>
      <c r="F444" s="140"/>
      <c r="G444" s="140" t="s">
        <v>64</v>
      </c>
      <c r="H444" s="140" t="s">
        <v>102</v>
      </c>
      <c r="I444" s="140" t="s">
        <v>102</v>
      </c>
      <c r="J444" s="141">
        <v>681.08</v>
      </c>
      <c r="K444" s="141">
        <v>633.24</v>
      </c>
      <c r="L444" s="141">
        <v>0</v>
      </c>
      <c r="M444" s="141">
        <v>30</v>
      </c>
      <c r="N444" s="112">
        <f t="shared" si="126"/>
        <v>4986091.3295065314</v>
      </c>
      <c r="O444" s="141"/>
      <c r="P444" s="55">
        <v>1593756.59</v>
      </c>
      <c r="Q444" s="63">
        <v>507855.56</v>
      </c>
      <c r="R444" s="63">
        <v>545581.389506532</v>
      </c>
      <c r="S444" s="63">
        <v>2338897.79</v>
      </c>
      <c r="T444" s="7"/>
      <c r="U444" s="63">
        <v>8422.4175023430907</v>
      </c>
      <c r="V444" s="63">
        <v>8422.4175023430907</v>
      </c>
      <c r="W444" s="59">
        <v>2023</v>
      </c>
      <c r="X444" s="6"/>
      <c r="Z444" s="62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63"/>
      <c r="AO444" s="64"/>
      <c r="AP444" s="61"/>
      <c r="AQ444" s="1">
        <v>368732.53</v>
      </c>
      <c r="AR444" s="3">
        <v>67820.004000000001</v>
      </c>
      <c r="AS444" s="3">
        <v>2393647.2000000002</v>
      </c>
      <c r="AT444" s="6">
        <f t="shared" si="127"/>
        <v>-54749.410000000149</v>
      </c>
      <c r="AW444" s="62">
        <f t="shared" si="135"/>
        <v>5333411.6591837415</v>
      </c>
      <c r="BH444" s="55">
        <v>5211447.8496772097</v>
      </c>
      <c r="BJ444" s="55"/>
      <c r="BK444" s="63">
        <v>8000</v>
      </c>
      <c r="BL444" s="111">
        <v>113963.80950653199</v>
      </c>
      <c r="BM444" s="62">
        <f t="shared" si="136"/>
        <v>5333411.6591837415</v>
      </c>
      <c r="BN444" s="53"/>
      <c r="BO444" s="53"/>
      <c r="BP444" s="53"/>
      <c r="BQ444" s="53"/>
      <c r="BR444" s="53"/>
      <c r="BS444" s="53"/>
      <c r="BT444" s="53"/>
      <c r="BU444" s="53"/>
      <c r="BV444" s="53"/>
      <c r="BW444" s="53"/>
      <c r="BX444" s="55">
        <v>5211447.8496772097</v>
      </c>
      <c r="BY444" s="53"/>
      <c r="BZ444" s="55"/>
      <c r="CA444" s="63">
        <v>8000</v>
      </c>
      <c r="CB444" s="64">
        <v>113963.80950653199</v>
      </c>
      <c r="CD444" s="6"/>
      <c r="CE444" s="3"/>
    </row>
    <row r="445" spans="1:83" x14ac:dyDescent="0.25">
      <c r="A445" s="105">
        <f t="shared" si="133"/>
        <v>424</v>
      </c>
      <c r="B445" s="107">
        <f t="shared" si="134"/>
        <v>213</v>
      </c>
      <c r="C445" s="141" t="s">
        <v>389</v>
      </c>
      <c r="D445" s="141" t="s">
        <v>486</v>
      </c>
      <c r="E445" s="140" t="s">
        <v>377</v>
      </c>
      <c r="F445" s="140"/>
      <c r="G445" s="140" t="s">
        <v>64</v>
      </c>
      <c r="H445" s="140" t="s">
        <v>102</v>
      </c>
      <c r="I445" s="140" t="s">
        <v>102</v>
      </c>
      <c r="J445" s="141">
        <v>989.4</v>
      </c>
      <c r="K445" s="141">
        <v>861.1</v>
      </c>
      <c r="L445" s="141">
        <v>0</v>
      </c>
      <c r="M445" s="141">
        <v>40</v>
      </c>
      <c r="N445" s="112">
        <f t="shared" ref="N445:N480" si="137">+P445+Q445+R445+S445+T445</f>
        <v>8118629.5021869661</v>
      </c>
      <c r="O445" s="141"/>
      <c r="P445" s="55">
        <v>3654295.31</v>
      </c>
      <c r="Q445" s="63">
        <v>507855.56</v>
      </c>
      <c r="R445" s="63">
        <v>701520.63218696602</v>
      </c>
      <c r="S445" s="63">
        <v>3254958</v>
      </c>
      <c r="T445" s="7"/>
      <c r="U445" s="63">
        <v>8419.0745040828297</v>
      </c>
      <c r="V445" s="63">
        <v>8419.0745040828297</v>
      </c>
      <c r="W445" s="59">
        <v>2023</v>
      </c>
      <c r="X445" s="6"/>
      <c r="Z445" s="62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  <c r="AN445" s="63"/>
      <c r="AO445" s="64"/>
      <c r="AP445" s="61"/>
      <c r="AQ445" s="1">
        <v>533284.21</v>
      </c>
      <c r="AR445" s="3">
        <v>92223.81</v>
      </c>
      <c r="AS445" s="3">
        <v>3254958</v>
      </c>
      <c r="AT445" s="6">
        <f t="shared" ref="AT445:AT476" si="138">+S445-AS445</f>
        <v>0</v>
      </c>
      <c r="AW445" s="62">
        <f t="shared" si="135"/>
        <v>7249665.0554657271</v>
      </c>
      <c r="BH445" s="55">
        <v>7086693.4232787602</v>
      </c>
      <c r="BJ445" s="55"/>
      <c r="BK445" s="63">
        <v>8000</v>
      </c>
      <c r="BL445" s="111">
        <v>154971.63218696701</v>
      </c>
      <c r="BM445" s="62">
        <f t="shared" si="136"/>
        <v>7249665.0554657271</v>
      </c>
      <c r="BN445" s="53"/>
      <c r="BO445" s="53"/>
      <c r="BP445" s="53"/>
      <c r="BQ445" s="53"/>
      <c r="BR445" s="53"/>
      <c r="BS445" s="53"/>
      <c r="BT445" s="53"/>
      <c r="BU445" s="53"/>
      <c r="BV445" s="53"/>
      <c r="BW445" s="53"/>
      <c r="BX445" s="55">
        <v>7086693.4232787602</v>
      </c>
      <c r="BY445" s="53"/>
      <c r="BZ445" s="55"/>
      <c r="CA445" s="63">
        <v>8000</v>
      </c>
      <c r="CB445" s="64">
        <v>154971.63218696701</v>
      </c>
      <c r="CD445" s="6"/>
      <c r="CE445" s="3"/>
    </row>
    <row r="446" spans="1:83" x14ac:dyDescent="0.25">
      <c r="A446" s="105">
        <f t="shared" si="133"/>
        <v>425</v>
      </c>
      <c r="B446" s="107">
        <f t="shared" si="134"/>
        <v>214</v>
      </c>
      <c r="C446" s="141" t="s">
        <v>204</v>
      </c>
      <c r="D446" s="141" t="s">
        <v>487</v>
      </c>
      <c r="E446" s="140">
        <v>1985</v>
      </c>
      <c r="F446" s="140">
        <v>1985</v>
      </c>
      <c r="G446" s="140" t="s">
        <v>64</v>
      </c>
      <c r="H446" s="140">
        <v>2</v>
      </c>
      <c r="I446" s="140">
        <v>2</v>
      </c>
      <c r="J446" s="144">
        <v>914.7</v>
      </c>
      <c r="K446" s="144">
        <v>845.7</v>
      </c>
      <c r="L446" s="144">
        <v>0</v>
      </c>
      <c r="M446" s="145">
        <v>33</v>
      </c>
      <c r="N446" s="112">
        <f t="shared" si="137"/>
        <v>2223661.8394323601</v>
      </c>
      <c r="O446" s="144"/>
      <c r="P446" s="144">
        <v>1110406.54</v>
      </c>
      <c r="Q446" s="63"/>
      <c r="R446" s="63">
        <v>468014.46</v>
      </c>
      <c r="S446" s="63">
        <v>645240.83943236002</v>
      </c>
      <c r="T446" s="143"/>
      <c r="U446" s="63">
        <v>6484.7032280950698</v>
      </c>
      <c r="V446" s="63">
        <v>1354.2830200640001</v>
      </c>
      <c r="W446" s="59">
        <v>2023</v>
      </c>
      <c r="X446" s="6" t="e">
        <v>#REF!</v>
      </c>
      <c r="Z446" s="62">
        <f t="shared" ref="Z446:Z460" si="139">SUM(AA446:AO446)</f>
        <v>6296342.71</v>
      </c>
      <c r="AA446" s="55">
        <v>2467275.9651212399</v>
      </c>
      <c r="AB446" s="55">
        <v>1501302.4198296601</v>
      </c>
      <c r="AC446" s="55">
        <v>707414.26194726001</v>
      </c>
      <c r="AD446" s="55">
        <v>602877.17677656002</v>
      </c>
      <c r="AE446" s="55">
        <v>0</v>
      </c>
      <c r="AF446" s="55"/>
      <c r="AG446" s="55">
        <v>262232.90488163999</v>
      </c>
      <c r="AH446" s="55">
        <v>0</v>
      </c>
      <c r="AI446" s="55">
        <v>0</v>
      </c>
      <c r="AJ446" s="55">
        <v>0</v>
      </c>
      <c r="AK446" s="55">
        <v>0</v>
      </c>
      <c r="AL446" s="55">
        <v>0</v>
      </c>
      <c r="AM446" s="55">
        <v>571103.86029999994</v>
      </c>
      <c r="AN446" s="63">
        <v>62963.427100000001</v>
      </c>
      <c r="AO446" s="64">
        <v>121172.69404364</v>
      </c>
      <c r="AP446" s="61">
        <f>+N446-'Приложение №2'!E446</f>
        <v>0</v>
      </c>
      <c r="AQ446" s="65">
        <v>429198.67</v>
      </c>
      <c r="AR446" s="3">
        <f t="shared" ref="AR446:AR458" si="140">+(K446*10+L446*20)*12*0.85</f>
        <v>86261.4</v>
      </c>
      <c r="AS446" s="3">
        <f>+(K446*10+L446*20)*12*30</f>
        <v>3044520</v>
      </c>
      <c r="AT446" s="6">
        <f t="shared" si="138"/>
        <v>-2399279.1605676399</v>
      </c>
      <c r="AU446" s="6" t="e">
        <v>#REF!</v>
      </c>
      <c r="AV446" s="6" t="e">
        <v>#REF!</v>
      </c>
      <c r="AW446" s="62">
        <f t="shared" ref="AW446:AW480" si="141">SUBTOTAL(9, AX446:BL446)</f>
        <v>5484113.5200000005</v>
      </c>
      <c r="AX446" s="55">
        <v>2690748.568494</v>
      </c>
      <c r="AY446" s="55">
        <v>1668343.007394</v>
      </c>
      <c r="AZ446" s="55"/>
      <c r="BA446" s="55">
        <v>685043.907198</v>
      </c>
      <c r="BB446" s="55">
        <v>0</v>
      </c>
      <c r="BC446" s="55"/>
      <c r="BD446" s="55">
        <v>262232.90488163999</v>
      </c>
      <c r="BE446" s="55">
        <v>0</v>
      </c>
      <c r="BF446" s="55">
        <v>0</v>
      </c>
      <c r="BG446" s="55">
        <v>0</v>
      </c>
      <c r="BH446" s="55">
        <v>0</v>
      </c>
      <c r="BI446" s="55">
        <v>0</v>
      </c>
      <c r="BJ446" s="55">
        <v>40971.241300000002</v>
      </c>
      <c r="BK446" s="63">
        <v>20734.3613</v>
      </c>
      <c r="BL446" s="111">
        <v>116039.52943236</v>
      </c>
      <c r="BM446" s="62">
        <f t="shared" ref="BM446:BM480" si="142">SUBTOTAL(9, BN446:CB446)</f>
        <v>5484113.5200000005</v>
      </c>
      <c r="BN446" s="55">
        <v>2690748.568494</v>
      </c>
      <c r="BO446" s="55">
        <v>1668343.007394</v>
      </c>
      <c r="BP446" s="55"/>
      <c r="BQ446" s="55">
        <v>685043.907198</v>
      </c>
      <c r="BR446" s="55">
        <v>0</v>
      </c>
      <c r="BS446" s="55"/>
      <c r="BT446" s="55">
        <v>262232.90488163999</v>
      </c>
      <c r="BU446" s="55">
        <v>0</v>
      </c>
      <c r="BV446" s="55">
        <v>0</v>
      </c>
      <c r="BW446" s="55">
        <v>0</v>
      </c>
      <c r="BX446" s="55">
        <v>0</v>
      </c>
      <c r="BY446" s="55">
        <v>0</v>
      </c>
      <c r="BZ446" s="55">
        <v>40971.241300000002</v>
      </c>
      <c r="CA446" s="63">
        <v>20734.3613</v>
      </c>
      <c r="CB446" s="64">
        <v>116039.52943236</v>
      </c>
    </row>
    <row r="447" spans="1:83" x14ac:dyDescent="0.25">
      <c r="A447" s="105">
        <f t="shared" si="133"/>
        <v>426</v>
      </c>
      <c r="B447" s="107">
        <f t="shared" si="134"/>
        <v>215</v>
      </c>
      <c r="C447" s="141" t="s">
        <v>204</v>
      </c>
      <c r="D447" s="141" t="s">
        <v>488</v>
      </c>
      <c r="E447" s="140">
        <v>1985</v>
      </c>
      <c r="F447" s="140">
        <v>2009</v>
      </c>
      <c r="G447" s="140" t="s">
        <v>64</v>
      </c>
      <c r="H447" s="140">
        <v>2</v>
      </c>
      <c r="I447" s="140">
        <v>3</v>
      </c>
      <c r="J447" s="144">
        <v>1493.5</v>
      </c>
      <c r="K447" s="144">
        <v>1376.8</v>
      </c>
      <c r="L447" s="144">
        <v>0</v>
      </c>
      <c r="M447" s="145">
        <v>60</v>
      </c>
      <c r="N447" s="112">
        <f t="shared" si="137"/>
        <v>3273285.0261359201</v>
      </c>
      <c r="O447" s="144"/>
      <c r="P447" s="144"/>
      <c r="Q447" s="63"/>
      <c r="R447" s="63">
        <v>848133.93</v>
      </c>
      <c r="S447" s="63">
        <v>2425151.0961359199</v>
      </c>
      <c r="T447" s="63"/>
      <c r="U447" s="63">
        <v>7465.9600014526404</v>
      </c>
      <c r="V447" s="63">
        <v>1355.2830200640001</v>
      </c>
      <c r="W447" s="59">
        <v>2023</v>
      </c>
      <c r="X447" s="6" t="e">
        <v>#REF!</v>
      </c>
      <c r="Z447" s="62">
        <f t="shared" si="139"/>
        <v>10279133.73</v>
      </c>
      <c r="AA447" s="55">
        <v>4027966.8255372001</v>
      </c>
      <c r="AB447" s="55">
        <v>2450960.6744834399</v>
      </c>
      <c r="AC447" s="55">
        <v>1154893.5828968999</v>
      </c>
      <c r="AD447" s="55">
        <v>984230.91881016002</v>
      </c>
      <c r="AE447" s="55">
        <v>0</v>
      </c>
      <c r="AF447" s="55"/>
      <c r="AG447" s="55">
        <v>428109.96493607998</v>
      </c>
      <c r="AH447" s="55">
        <v>0</v>
      </c>
      <c r="AI447" s="55">
        <v>0</v>
      </c>
      <c r="AJ447" s="55">
        <v>0</v>
      </c>
      <c r="AK447" s="55">
        <v>0</v>
      </c>
      <c r="AL447" s="55">
        <v>0</v>
      </c>
      <c r="AM447" s="55">
        <v>932359.18539999996</v>
      </c>
      <c r="AN447" s="63">
        <v>102791.3373</v>
      </c>
      <c r="AO447" s="64">
        <v>197821.24063622</v>
      </c>
      <c r="AP447" s="61">
        <f>+N447-'Приложение №2'!E447</f>
        <v>0</v>
      </c>
      <c r="AQ447" s="65">
        <v>707700.33</v>
      </c>
      <c r="AR447" s="3">
        <f t="shared" si="140"/>
        <v>140433.60000000001</v>
      </c>
      <c r="AS447" s="3">
        <f>+(K447*10+L447*20)*12*30</f>
        <v>4956480</v>
      </c>
      <c r="AT447" s="6">
        <f t="shared" si="138"/>
        <v>-2531328.9038640801</v>
      </c>
      <c r="AU447" s="6" t="e">
        <v>#REF!</v>
      </c>
      <c r="AV447" s="6" t="e">
        <v>#REF!</v>
      </c>
      <c r="AW447" s="62">
        <f t="shared" si="141"/>
        <v>10279133.729999997</v>
      </c>
      <c r="AX447" s="55">
        <v>4401647.2299239999</v>
      </c>
      <c r="AY447" s="55">
        <v>2728944.7063199999</v>
      </c>
      <c r="AZ447" s="55">
        <v>1282797.7023539999</v>
      </c>
      <c r="BA447" s="55">
        <v>1125093.5331300001</v>
      </c>
      <c r="BB447" s="55">
        <v>0</v>
      </c>
      <c r="BC447" s="55"/>
      <c r="BD447" s="55">
        <v>428109.96493607998</v>
      </c>
      <c r="BE447" s="55">
        <v>0</v>
      </c>
      <c r="BF447" s="55">
        <v>0</v>
      </c>
      <c r="BG447" s="55">
        <v>0</v>
      </c>
      <c r="BH447" s="55">
        <v>0</v>
      </c>
      <c r="BI447" s="55">
        <v>0</v>
      </c>
      <c r="BJ447" s="55">
        <v>66127.388600000006</v>
      </c>
      <c r="BK447" s="63">
        <v>28463.998599999999</v>
      </c>
      <c r="BL447" s="111">
        <v>217949.20613591999</v>
      </c>
      <c r="BM447" s="62">
        <f t="shared" si="142"/>
        <v>10279133.729999997</v>
      </c>
      <c r="BN447" s="55">
        <v>4401647.2299239999</v>
      </c>
      <c r="BO447" s="55">
        <v>2728944.7063199999</v>
      </c>
      <c r="BP447" s="55">
        <v>1282797.7023539999</v>
      </c>
      <c r="BQ447" s="55">
        <v>1125093.5331300001</v>
      </c>
      <c r="BR447" s="55">
        <v>0</v>
      </c>
      <c r="BS447" s="55"/>
      <c r="BT447" s="55">
        <v>428109.96493607998</v>
      </c>
      <c r="BU447" s="55">
        <v>0</v>
      </c>
      <c r="BV447" s="55">
        <v>0</v>
      </c>
      <c r="BW447" s="55">
        <v>0</v>
      </c>
      <c r="BX447" s="55">
        <v>0</v>
      </c>
      <c r="BY447" s="55">
        <v>0</v>
      </c>
      <c r="BZ447" s="55">
        <v>66127.388600000006</v>
      </c>
      <c r="CA447" s="63">
        <v>28463.998599999999</v>
      </c>
      <c r="CB447" s="64">
        <v>217949.20613591999</v>
      </c>
      <c r="CD447" s="3"/>
    </row>
    <row r="448" spans="1:83" x14ac:dyDescent="0.25">
      <c r="A448" s="105">
        <f t="shared" si="133"/>
        <v>427</v>
      </c>
      <c r="B448" s="107">
        <f t="shared" si="134"/>
        <v>216</v>
      </c>
      <c r="C448" s="53" t="s">
        <v>206</v>
      </c>
      <c r="D448" s="53" t="s">
        <v>208</v>
      </c>
      <c r="E448" s="54">
        <v>1964</v>
      </c>
      <c r="F448" s="54">
        <v>1964</v>
      </c>
      <c r="G448" s="54" t="s">
        <v>64</v>
      </c>
      <c r="H448" s="54">
        <v>2</v>
      </c>
      <c r="I448" s="54">
        <v>2</v>
      </c>
      <c r="J448" s="55">
        <v>816.77</v>
      </c>
      <c r="K448" s="55">
        <v>598.04999999999995</v>
      </c>
      <c r="L448" s="55">
        <v>218.72</v>
      </c>
      <c r="M448" s="56">
        <v>23</v>
      </c>
      <c r="N448" s="112">
        <f t="shared" si="137"/>
        <v>355868.250956</v>
      </c>
      <c r="O448" s="55"/>
      <c r="P448" s="55"/>
      <c r="Q448" s="63"/>
      <c r="R448" s="63">
        <v>355868.250956</v>
      </c>
      <c r="S448" s="63"/>
      <c r="T448" s="63"/>
      <c r="U448" s="55">
        <v>708.25338322416303</v>
      </c>
      <c r="V448" s="55">
        <v>708.25338322416303</v>
      </c>
      <c r="W448" s="59">
        <v>2023</v>
      </c>
      <c r="X448" s="6" t="e">
        <v>#REF!</v>
      </c>
      <c r="Z448" s="62">
        <f t="shared" si="139"/>
        <v>6301561.3699999992</v>
      </c>
      <c r="AA448" s="55">
        <v>0</v>
      </c>
      <c r="AB448" s="55">
        <v>0</v>
      </c>
      <c r="AC448" s="55">
        <v>499972.95528431999</v>
      </c>
      <c r="AD448" s="55">
        <v>0</v>
      </c>
      <c r="AE448" s="55">
        <v>0</v>
      </c>
      <c r="AF448" s="55"/>
      <c r="AG448" s="55">
        <v>0</v>
      </c>
      <c r="AH448" s="55">
        <v>0</v>
      </c>
      <c r="AI448" s="55">
        <v>5044446.5320746005</v>
      </c>
      <c r="AJ448" s="55">
        <v>0</v>
      </c>
      <c r="AK448" s="55">
        <v>0</v>
      </c>
      <c r="AL448" s="55">
        <v>0</v>
      </c>
      <c r="AM448" s="55">
        <v>572881.04410000006</v>
      </c>
      <c r="AN448" s="63">
        <v>63015.613700000002</v>
      </c>
      <c r="AO448" s="64">
        <v>121245.22484107999</v>
      </c>
      <c r="AP448" s="61">
        <f>+N448-'Приложение №2'!E448</f>
        <v>0</v>
      </c>
      <c r="AQ448" s="1">
        <f>223283.02-99067.28</f>
        <v>124215.73999999999</v>
      </c>
      <c r="AR448" s="3">
        <f t="shared" si="140"/>
        <v>105619.97999999998</v>
      </c>
      <c r="AS448" s="3">
        <f>+(K448*10+L448*20)*12*30-29457.72</f>
        <v>3698306.2799999993</v>
      </c>
      <c r="AT448" s="6">
        <f t="shared" si="138"/>
        <v>-3698306.2799999993</v>
      </c>
      <c r="AU448" s="6" t="e">
        <v>#REF!</v>
      </c>
      <c r="AV448" s="6" t="e">
        <v>#REF!</v>
      </c>
      <c r="AW448" s="62">
        <f t="shared" si="141"/>
        <v>578480.11581599992</v>
      </c>
      <c r="AX448" s="55">
        <v>0</v>
      </c>
      <c r="AY448" s="55">
        <v>0</v>
      </c>
      <c r="AZ448" s="55">
        <v>448683.30485999997</v>
      </c>
      <c r="BA448" s="55">
        <v>0</v>
      </c>
      <c r="BB448" s="55">
        <v>0</v>
      </c>
      <c r="BC448" s="55"/>
      <c r="BD448" s="55"/>
      <c r="BE448" s="55">
        <v>0</v>
      </c>
      <c r="BF448" s="55"/>
      <c r="BG448" s="55">
        <v>0</v>
      </c>
      <c r="BH448" s="55">
        <v>0</v>
      </c>
      <c r="BI448" s="55">
        <v>0</v>
      </c>
      <c r="BJ448" s="55"/>
      <c r="BK448" s="63"/>
      <c r="BL448" s="111">
        <v>129796.810956</v>
      </c>
      <c r="BM448" s="62">
        <f t="shared" si="142"/>
        <v>578480.11581599992</v>
      </c>
      <c r="BN448" s="55">
        <v>0</v>
      </c>
      <c r="BO448" s="55">
        <v>0</v>
      </c>
      <c r="BP448" s="55">
        <v>448683.30485999997</v>
      </c>
      <c r="BQ448" s="55">
        <v>0</v>
      </c>
      <c r="BR448" s="55">
        <v>0</v>
      </c>
      <c r="BS448" s="55"/>
      <c r="BT448" s="55"/>
      <c r="BU448" s="55">
        <v>0</v>
      </c>
      <c r="BV448" s="55"/>
      <c r="BW448" s="55">
        <v>0</v>
      </c>
      <c r="BX448" s="55">
        <v>0</v>
      </c>
      <c r="BY448" s="55">
        <v>0</v>
      </c>
      <c r="BZ448" s="55"/>
      <c r="CA448" s="63"/>
      <c r="CB448" s="64">
        <v>129796.810956</v>
      </c>
      <c r="CD448" s="3"/>
      <c r="CE448" s="3"/>
    </row>
    <row r="449" spans="1:83" x14ac:dyDescent="0.25">
      <c r="A449" s="105">
        <f t="shared" si="133"/>
        <v>428</v>
      </c>
      <c r="B449" s="107">
        <f t="shared" si="134"/>
        <v>217</v>
      </c>
      <c r="C449" s="53" t="s">
        <v>206</v>
      </c>
      <c r="D449" s="53" t="s">
        <v>211</v>
      </c>
      <c r="E449" s="54">
        <v>1964</v>
      </c>
      <c r="F449" s="54">
        <v>1964</v>
      </c>
      <c r="G449" s="54" t="s">
        <v>64</v>
      </c>
      <c r="H449" s="54">
        <v>2</v>
      </c>
      <c r="I449" s="54">
        <v>2</v>
      </c>
      <c r="J449" s="55">
        <v>868.87</v>
      </c>
      <c r="K449" s="55">
        <v>613.55999999999995</v>
      </c>
      <c r="L449" s="55">
        <v>255.31</v>
      </c>
      <c r="M449" s="56">
        <v>26</v>
      </c>
      <c r="N449" s="112">
        <f t="shared" si="137"/>
        <v>374675.35644200002</v>
      </c>
      <c r="O449" s="55"/>
      <c r="P449" s="63"/>
      <c r="Q449" s="63"/>
      <c r="R449" s="63">
        <v>374675.35644200002</v>
      </c>
      <c r="S449" s="63"/>
      <c r="T449" s="63"/>
      <c r="U449" s="55">
        <v>691.92401571696598</v>
      </c>
      <c r="V449" s="55">
        <v>691.92401571696598</v>
      </c>
      <c r="W449" s="59">
        <v>2023</v>
      </c>
      <c r="X449" s="6" t="e">
        <v>#REF!</v>
      </c>
      <c r="Z449" s="62">
        <f t="shared" si="139"/>
        <v>6504868.2400000002</v>
      </c>
      <c r="AA449" s="55">
        <v>0</v>
      </c>
      <c r="AB449" s="55">
        <v>0</v>
      </c>
      <c r="AC449" s="55">
        <v>516103.55464625999</v>
      </c>
      <c r="AD449" s="55">
        <v>0</v>
      </c>
      <c r="AE449" s="55">
        <v>0</v>
      </c>
      <c r="AF449" s="55"/>
      <c r="AG449" s="55">
        <v>0</v>
      </c>
      <c r="AH449" s="55">
        <v>0</v>
      </c>
      <c r="AI449" s="55">
        <v>5207195.1827069996</v>
      </c>
      <c r="AJ449" s="55">
        <v>0</v>
      </c>
      <c r="AK449" s="55">
        <v>0</v>
      </c>
      <c r="AL449" s="55">
        <v>0</v>
      </c>
      <c r="AM449" s="55">
        <v>591363.86849999998</v>
      </c>
      <c r="AN449" s="63">
        <v>65048.682399999998</v>
      </c>
      <c r="AO449" s="64">
        <v>125156.95174674</v>
      </c>
      <c r="AP449" s="61">
        <f>+N449-'Приложение №2'!E449</f>
        <v>0</v>
      </c>
      <c r="AQ449" s="1">
        <f>278417.8-100860.31</f>
        <v>177557.49</v>
      </c>
      <c r="AR449" s="3">
        <f t="shared" si="140"/>
        <v>114666.35999999997</v>
      </c>
      <c r="AS449" s="3">
        <f>+(K449*10+L449*20)*12*30-29524.86</f>
        <v>4017523.1399999992</v>
      </c>
      <c r="AT449" s="6">
        <f t="shared" si="138"/>
        <v>-4017523.1399999992</v>
      </c>
      <c r="AU449" s="6" t="e">
        <v>#REF!</v>
      </c>
      <c r="AV449" s="6" t="e">
        <v>#REF!</v>
      </c>
      <c r="AW449" s="62">
        <f t="shared" si="141"/>
        <v>601192.01953599998</v>
      </c>
      <c r="AX449" s="55">
        <v>0</v>
      </c>
      <c r="AY449" s="55">
        <v>0</v>
      </c>
      <c r="AZ449" s="55">
        <v>467037.62309399998</v>
      </c>
      <c r="BA449" s="55">
        <v>0</v>
      </c>
      <c r="BB449" s="55">
        <v>0</v>
      </c>
      <c r="BC449" s="55"/>
      <c r="BD449" s="55"/>
      <c r="BE449" s="55">
        <v>0</v>
      </c>
      <c r="BF449" s="55"/>
      <c r="BG449" s="55">
        <v>0</v>
      </c>
      <c r="BH449" s="55">
        <v>0</v>
      </c>
      <c r="BI449" s="55">
        <v>0</v>
      </c>
      <c r="BJ449" s="55"/>
      <c r="BK449" s="63"/>
      <c r="BL449" s="111">
        <v>134154.396442</v>
      </c>
      <c r="BM449" s="62">
        <f t="shared" si="142"/>
        <v>601192.01953599998</v>
      </c>
      <c r="BN449" s="55">
        <v>0</v>
      </c>
      <c r="BO449" s="55">
        <v>0</v>
      </c>
      <c r="BP449" s="55">
        <v>467037.62309399998</v>
      </c>
      <c r="BQ449" s="55">
        <v>0</v>
      </c>
      <c r="BR449" s="55">
        <v>0</v>
      </c>
      <c r="BS449" s="55"/>
      <c r="BT449" s="55"/>
      <c r="BU449" s="55">
        <v>0</v>
      </c>
      <c r="BV449" s="55"/>
      <c r="BW449" s="55">
        <v>0</v>
      </c>
      <c r="BX449" s="55">
        <v>0</v>
      </c>
      <c r="BY449" s="55">
        <v>0</v>
      </c>
      <c r="BZ449" s="55"/>
      <c r="CA449" s="63"/>
      <c r="CB449" s="64">
        <v>134154.396442</v>
      </c>
      <c r="CD449" s="6"/>
      <c r="CE449" s="3"/>
    </row>
    <row r="450" spans="1:83" x14ac:dyDescent="0.25">
      <c r="A450" s="105">
        <f t="shared" si="133"/>
        <v>429</v>
      </c>
      <c r="B450" s="107">
        <f t="shared" si="134"/>
        <v>218</v>
      </c>
      <c r="C450" s="53" t="s">
        <v>206</v>
      </c>
      <c r="D450" s="53" t="s">
        <v>489</v>
      </c>
      <c r="E450" s="54">
        <v>1962</v>
      </c>
      <c r="F450" s="54">
        <v>2017</v>
      </c>
      <c r="G450" s="54" t="s">
        <v>64</v>
      </c>
      <c r="H450" s="54">
        <v>2</v>
      </c>
      <c r="I450" s="54">
        <v>2</v>
      </c>
      <c r="J450" s="55">
        <v>1087.26</v>
      </c>
      <c r="K450" s="55">
        <v>641.25</v>
      </c>
      <c r="L450" s="55">
        <v>254.58</v>
      </c>
      <c r="M450" s="56">
        <v>29</v>
      </c>
      <c r="N450" s="112">
        <f t="shared" si="137"/>
        <v>265206.89065400045</v>
      </c>
      <c r="O450" s="55"/>
      <c r="P450" s="63"/>
      <c r="Q450" s="63"/>
      <c r="R450" s="6">
        <v>265206.89065399999</v>
      </c>
      <c r="S450" s="63"/>
      <c r="T450" s="113">
        <v>4.65661287307739E-10</v>
      </c>
      <c r="U450" s="55">
        <v>612.93393835884001</v>
      </c>
      <c r="V450" s="55">
        <v>612.93393835884001</v>
      </c>
      <c r="W450" s="59">
        <v>2023</v>
      </c>
      <c r="X450" s="6" t="e">
        <v>#REF!</v>
      </c>
      <c r="Z450" s="62">
        <f t="shared" si="139"/>
        <v>616949</v>
      </c>
      <c r="AA450" s="55">
        <v>0</v>
      </c>
      <c r="AB450" s="55">
        <v>0</v>
      </c>
      <c r="AC450" s="55">
        <v>537334.19934599998</v>
      </c>
      <c r="AD450" s="55">
        <v>0</v>
      </c>
      <c r="AE450" s="55">
        <v>0</v>
      </c>
      <c r="AF450" s="55"/>
      <c r="AG450" s="55">
        <v>0</v>
      </c>
      <c r="AH450" s="55">
        <v>0</v>
      </c>
      <c r="AI450" s="55">
        <v>0</v>
      </c>
      <c r="AJ450" s="55">
        <v>0</v>
      </c>
      <c r="AK450" s="55">
        <v>0</v>
      </c>
      <c r="AL450" s="55">
        <v>0</v>
      </c>
      <c r="AM450" s="55">
        <v>61694.9</v>
      </c>
      <c r="AN450" s="63">
        <v>6169.49</v>
      </c>
      <c r="AO450" s="64">
        <v>11750.410653999999</v>
      </c>
      <c r="AP450" s="61">
        <f>+N450-'Приложение №2'!E450</f>
        <v>4.6566128730773926E-10</v>
      </c>
      <c r="AQ450" s="1">
        <f>309756.66-132948.3</f>
        <v>176808.36</v>
      </c>
      <c r="AR450" s="3">
        <f t="shared" si="140"/>
        <v>117341.82</v>
      </c>
      <c r="AS450" s="3">
        <f>+(K450*10+L450*20)*12*30-30726.12</f>
        <v>4110749.8800000004</v>
      </c>
      <c r="AT450" s="6">
        <f t="shared" si="138"/>
        <v>-4110749.8800000004</v>
      </c>
      <c r="AU450" s="6" t="e">
        <v>#REF!</v>
      </c>
      <c r="AV450" s="6" t="e">
        <v>#REF!</v>
      </c>
      <c r="AW450" s="62">
        <f t="shared" si="141"/>
        <v>549084.61</v>
      </c>
      <c r="AX450" s="55">
        <v>0</v>
      </c>
      <c r="AY450" s="55">
        <v>0</v>
      </c>
      <c r="AZ450" s="55">
        <v>537334.19934599998</v>
      </c>
      <c r="BA450" s="55">
        <v>0</v>
      </c>
      <c r="BB450" s="55">
        <v>0</v>
      </c>
      <c r="BC450" s="55"/>
      <c r="BD450" s="55"/>
      <c r="BE450" s="55">
        <v>0</v>
      </c>
      <c r="BF450" s="55">
        <v>0</v>
      </c>
      <c r="BG450" s="55">
        <v>0</v>
      </c>
      <c r="BH450" s="55">
        <v>0</v>
      </c>
      <c r="BI450" s="55">
        <v>0</v>
      </c>
      <c r="BJ450" s="55"/>
      <c r="BK450" s="63"/>
      <c r="BL450" s="111">
        <v>11750.410653999999</v>
      </c>
      <c r="BM450" s="62">
        <f t="shared" si="142"/>
        <v>549084.61</v>
      </c>
      <c r="BN450" s="55">
        <v>0</v>
      </c>
      <c r="BO450" s="55">
        <v>0</v>
      </c>
      <c r="BP450" s="55">
        <v>537334.19934599998</v>
      </c>
      <c r="BQ450" s="55">
        <v>0</v>
      </c>
      <c r="BR450" s="55">
        <v>0</v>
      </c>
      <c r="BS450" s="55"/>
      <c r="BT450" s="55"/>
      <c r="BU450" s="55">
        <v>0</v>
      </c>
      <c r="BV450" s="55">
        <v>0</v>
      </c>
      <c r="BW450" s="55">
        <v>0</v>
      </c>
      <c r="BX450" s="55">
        <v>0</v>
      </c>
      <c r="BY450" s="55">
        <v>0</v>
      </c>
      <c r="BZ450" s="55"/>
      <c r="CA450" s="63"/>
      <c r="CB450" s="64">
        <v>11750.410653999999</v>
      </c>
      <c r="CD450" s="6"/>
      <c r="CE450" s="3"/>
    </row>
    <row r="451" spans="1:83" x14ac:dyDescent="0.25">
      <c r="A451" s="105">
        <f t="shared" si="133"/>
        <v>430</v>
      </c>
      <c r="B451" s="107">
        <f t="shared" si="134"/>
        <v>219</v>
      </c>
      <c r="C451" s="53" t="s">
        <v>206</v>
      </c>
      <c r="D451" s="53" t="s">
        <v>490</v>
      </c>
      <c r="E451" s="54">
        <v>1984</v>
      </c>
      <c r="F451" s="54">
        <v>2009</v>
      </c>
      <c r="G451" s="54" t="s">
        <v>64</v>
      </c>
      <c r="H451" s="54">
        <v>2</v>
      </c>
      <c r="I451" s="54">
        <v>2</v>
      </c>
      <c r="J451" s="55">
        <v>1164.7</v>
      </c>
      <c r="K451" s="55">
        <v>745.9</v>
      </c>
      <c r="L451" s="55">
        <v>304.10000000000002</v>
      </c>
      <c r="M451" s="56">
        <v>37</v>
      </c>
      <c r="N451" s="112">
        <f t="shared" si="137"/>
        <v>857470.99628904043</v>
      </c>
      <c r="O451" s="55"/>
      <c r="P451" s="63"/>
      <c r="Q451" s="63"/>
      <c r="R451" s="63">
        <v>200191.26628904001</v>
      </c>
      <c r="S451" s="63">
        <v>657279.73</v>
      </c>
      <c r="T451" s="113">
        <v>4.65661287307739E-10</v>
      </c>
      <c r="U451" s="55">
        <v>4171.5365941580903</v>
      </c>
      <c r="V451" s="55">
        <v>4171.5365941580903</v>
      </c>
      <c r="W451" s="59">
        <v>2023</v>
      </c>
      <c r="X451" s="6" t="e">
        <v>#REF!</v>
      </c>
      <c r="Z451" s="62">
        <f t="shared" si="139"/>
        <v>12533218.82</v>
      </c>
      <c r="AA451" s="55">
        <v>2147390.7974609998</v>
      </c>
      <c r="AB451" s="55">
        <v>1306656.8383722</v>
      </c>
      <c r="AC451" s="55">
        <v>615697.18809396005</v>
      </c>
      <c r="AD451" s="55">
        <v>524713.46015088004</v>
      </c>
      <c r="AE451" s="55">
        <v>0</v>
      </c>
      <c r="AF451" s="55"/>
      <c r="AG451" s="55">
        <v>228234.10595495999</v>
      </c>
      <c r="AH451" s="55">
        <v>0</v>
      </c>
      <c r="AI451" s="55">
        <v>6212039.0494932001</v>
      </c>
      <c r="AJ451" s="55">
        <v>0</v>
      </c>
      <c r="AK451" s="55">
        <v>0</v>
      </c>
      <c r="AL451" s="55">
        <v>0</v>
      </c>
      <c r="AM451" s="55">
        <v>1131847.9648</v>
      </c>
      <c r="AN451" s="63">
        <v>125332.1882</v>
      </c>
      <c r="AO451" s="64">
        <v>241307.22747380001</v>
      </c>
      <c r="AP451" s="61">
        <f>+N451-'Приложение №2'!E713</f>
        <v>-1889589.5437007793</v>
      </c>
      <c r="AQ451" s="1">
        <v>397731.31</v>
      </c>
      <c r="AR451" s="3">
        <f t="shared" si="140"/>
        <v>138118.19999999998</v>
      </c>
      <c r="AS451" s="3">
        <f>+(K451*10+L451*20)*12*30</f>
        <v>4874760</v>
      </c>
      <c r="AT451" s="6">
        <f t="shared" si="138"/>
        <v>-4217480.2699999996</v>
      </c>
      <c r="AU451" s="6" t="e">
        <v>#REF!</v>
      </c>
      <c r="AV451" s="6" t="e">
        <v>#REF!</v>
      </c>
      <c r="AW451" s="62">
        <f t="shared" si="141"/>
        <v>4380113.423866</v>
      </c>
      <c r="AX451" s="55">
        <v>2339408.797698</v>
      </c>
      <c r="AY451" s="55">
        <v>1449960.6375239999</v>
      </c>
      <c r="AZ451" s="55"/>
      <c r="BA451" s="55"/>
      <c r="BB451" s="55">
        <v>0</v>
      </c>
      <c r="BC451" s="55"/>
      <c r="BD451" s="55">
        <v>228234.10595495999</v>
      </c>
      <c r="BE451" s="55">
        <v>0</v>
      </c>
      <c r="BF451" s="55"/>
      <c r="BG451" s="55">
        <v>0</v>
      </c>
      <c r="BH451" s="55">
        <v>0</v>
      </c>
      <c r="BI451" s="55">
        <v>0</v>
      </c>
      <c r="BJ451" s="55">
        <v>99074.368199999997</v>
      </c>
      <c r="BK451" s="63">
        <v>26379.8482</v>
      </c>
      <c r="BL451" s="111">
        <v>237055.66628904</v>
      </c>
      <c r="BM451" s="62">
        <f t="shared" si="142"/>
        <v>4380113.423866</v>
      </c>
      <c r="BN451" s="55">
        <v>2339408.797698</v>
      </c>
      <c r="BO451" s="55">
        <v>1449960.6375239999</v>
      </c>
      <c r="BP451" s="55"/>
      <c r="BQ451" s="55"/>
      <c r="BR451" s="55">
        <v>0</v>
      </c>
      <c r="BS451" s="55"/>
      <c r="BT451" s="55">
        <v>228234.10595495999</v>
      </c>
      <c r="BU451" s="55">
        <v>0</v>
      </c>
      <c r="BV451" s="55"/>
      <c r="BW451" s="55">
        <v>0</v>
      </c>
      <c r="BX451" s="55">
        <v>0</v>
      </c>
      <c r="BY451" s="55">
        <v>0</v>
      </c>
      <c r="BZ451" s="55">
        <v>99074.368199999997</v>
      </c>
      <c r="CA451" s="63">
        <v>26379.8482</v>
      </c>
      <c r="CB451" s="64">
        <v>237055.66628904</v>
      </c>
      <c r="CD451" s="6"/>
    </row>
    <row r="452" spans="1:83" x14ac:dyDescent="0.25">
      <c r="A452" s="105">
        <f t="shared" si="133"/>
        <v>431</v>
      </c>
      <c r="B452" s="107" t="s">
        <v>455</v>
      </c>
      <c r="C452" s="53" t="s">
        <v>206</v>
      </c>
      <c r="D452" s="53" t="s">
        <v>207</v>
      </c>
      <c r="E452" s="54">
        <v>1976</v>
      </c>
      <c r="F452" s="54">
        <v>2008</v>
      </c>
      <c r="G452" s="54" t="s">
        <v>64</v>
      </c>
      <c r="H452" s="54">
        <v>4</v>
      </c>
      <c r="I452" s="54">
        <v>4</v>
      </c>
      <c r="J452" s="55">
        <v>4257.32</v>
      </c>
      <c r="K452" s="55">
        <v>3128.38</v>
      </c>
      <c r="L452" s="55">
        <v>991.08</v>
      </c>
      <c r="M452" s="56">
        <v>124</v>
      </c>
      <c r="N452" s="112">
        <f t="shared" si="137"/>
        <v>465507.01848374045</v>
      </c>
      <c r="O452" s="55"/>
      <c r="P452" s="63"/>
      <c r="Q452" s="63"/>
      <c r="R452" s="63">
        <v>465507.01848373999</v>
      </c>
      <c r="S452" s="63"/>
      <c r="T452" s="113">
        <v>4.65661287307739E-10</v>
      </c>
      <c r="U452" s="55">
        <v>1050.5361310073999</v>
      </c>
      <c r="V452" s="55">
        <v>1050.5361310073999</v>
      </c>
      <c r="W452" s="59">
        <v>2023</v>
      </c>
      <c r="X452" s="6" t="e">
        <v>#REF!</v>
      </c>
      <c r="Z452" s="62">
        <f t="shared" si="139"/>
        <v>16411728.57</v>
      </c>
      <c r="AA452" s="55">
        <v>7185234.1705489801</v>
      </c>
      <c r="AB452" s="55">
        <v>2542217.2836664799</v>
      </c>
      <c r="AC452" s="55">
        <v>0</v>
      </c>
      <c r="AD452" s="55">
        <v>1662855.463857</v>
      </c>
      <c r="AE452" s="55">
        <v>2127796.9824119401</v>
      </c>
      <c r="AF452" s="55"/>
      <c r="AG452" s="55">
        <v>285097.02429768001</v>
      </c>
      <c r="AH452" s="55">
        <v>0</v>
      </c>
      <c r="AI452" s="55">
        <v>0</v>
      </c>
      <c r="AJ452" s="55">
        <v>0</v>
      </c>
      <c r="AK452" s="55">
        <v>0</v>
      </c>
      <c r="AL452" s="55">
        <v>0</v>
      </c>
      <c r="AM452" s="55">
        <v>2142562.3114999998</v>
      </c>
      <c r="AN452" s="63">
        <v>164117.28570000001</v>
      </c>
      <c r="AO452" s="64">
        <v>301848.04801791999</v>
      </c>
      <c r="AP452" s="61">
        <f>+N452-'Приложение №2'!E438</f>
        <v>-1039668.2677968794</v>
      </c>
      <c r="AQ452" s="6">
        <f>1377282.4-565094.81-R191</f>
        <v>645001.51999999979</v>
      </c>
      <c r="AR452" s="3">
        <f t="shared" si="140"/>
        <v>521275.08</v>
      </c>
      <c r="AS452" s="3">
        <f>+(K452*10+L452*20)*12*30-180969.62-S191</f>
        <v>17326310.85660588</v>
      </c>
      <c r="AT452" s="6">
        <f t="shared" si="138"/>
        <v>-17326310.85660588</v>
      </c>
      <c r="AU452" s="6" t="e">
        <v>#REF!</v>
      </c>
      <c r="AV452" s="6" t="e">
        <v>#REF!</v>
      </c>
      <c r="AW452" s="62">
        <f t="shared" si="141"/>
        <v>3488921.0602397402</v>
      </c>
      <c r="AX452" s="55"/>
      <c r="AY452" s="55"/>
      <c r="AZ452" s="55">
        <v>0</v>
      </c>
      <c r="BA452" s="55">
        <v>1796569.131756</v>
      </c>
      <c r="BB452" s="55"/>
      <c r="BC452" s="55"/>
      <c r="BD452" s="55"/>
      <c r="BE452" s="55">
        <v>0</v>
      </c>
      <c r="BF452" s="55">
        <v>0</v>
      </c>
      <c r="BG452" s="55">
        <v>1450733.92</v>
      </c>
      <c r="BH452" s="55">
        <v>0</v>
      </c>
      <c r="BI452" s="55"/>
      <c r="BJ452" s="55"/>
      <c r="BK452" s="63"/>
      <c r="BL452" s="111">
        <v>241618.00848374001</v>
      </c>
      <c r="BM452" s="62">
        <f t="shared" si="142"/>
        <v>4327641.5702397395</v>
      </c>
      <c r="BN452" s="55"/>
      <c r="BO452" s="55"/>
      <c r="BP452" s="55">
        <v>0</v>
      </c>
      <c r="BQ452" s="55">
        <v>1796569.131756</v>
      </c>
      <c r="BR452" s="55"/>
      <c r="BS452" s="55"/>
      <c r="BT452" s="55"/>
      <c r="BU452" s="55">
        <v>0</v>
      </c>
      <c r="BV452" s="55">
        <v>0</v>
      </c>
      <c r="BW452" s="55">
        <v>2289454.4300000002</v>
      </c>
      <c r="BX452" s="55">
        <v>0</v>
      </c>
      <c r="BY452" s="55"/>
      <c r="BZ452" s="55"/>
      <c r="CA452" s="63"/>
      <c r="CB452" s="64">
        <v>241618.00848374001</v>
      </c>
      <c r="CD452" s="3"/>
    </row>
    <row r="453" spans="1:83" x14ac:dyDescent="0.25">
      <c r="A453" s="105">
        <f t="shared" si="133"/>
        <v>432</v>
      </c>
      <c r="B453" s="107" t="s">
        <v>455</v>
      </c>
      <c r="C453" s="107" t="s">
        <v>206</v>
      </c>
      <c r="D453" s="107" t="s">
        <v>209</v>
      </c>
      <c r="E453" s="54">
        <v>1975</v>
      </c>
      <c r="F453" s="54">
        <v>2008</v>
      </c>
      <c r="G453" s="54" t="s">
        <v>64</v>
      </c>
      <c r="H453" s="54">
        <v>4</v>
      </c>
      <c r="I453" s="54">
        <v>4</v>
      </c>
      <c r="J453" s="55">
        <v>4182.96</v>
      </c>
      <c r="K453" s="55">
        <v>3048.03</v>
      </c>
      <c r="L453" s="55">
        <v>978.37</v>
      </c>
      <c r="M453" s="56">
        <v>135</v>
      </c>
      <c r="N453" s="108">
        <f t="shared" si="137"/>
        <v>511666.01998982049</v>
      </c>
      <c r="O453" s="63"/>
      <c r="P453" s="63"/>
      <c r="Q453" s="63"/>
      <c r="R453" s="3">
        <v>511666.01998982002</v>
      </c>
      <c r="S453" s="63"/>
      <c r="T453" s="113">
        <v>4.65661287307739E-10</v>
      </c>
      <c r="U453" s="55">
        <v>1849.23882793194</v>
      </c>
      <c r="V453" s="55">
        <v>1849.23882793194</v>
      </c>
      <c r="W453" s="59">
        <v>2023</v>
      </c>
      <c r="X453" s="6" t="e">
        <v>#REF!</v>
      </c>
      <c r="Z453" s="62">
        <f t="shared" si="139"/>
        <v>16048675.259999998</v>
      </c>
      <c r="AA453" s="55">
        <v>7026285.4671664201</v>
      </c>
      <c r="AB453" s="55">
        <v>2485979.4267953401</v>
      </c>
      <c r="AC453" s="55">
        <v>0</v>
      </c>
      <c r="AD453" s="55">
        <v>1626070.4809314001</v>
      </c>
      <c r="AE453" s="55">
        <v>2080726.7578889399</v>
      </c>
      <c r="AF453" s="55"/>
      <c r="AG453" s="55">
        <v>278790.22600296</v>
      </c>
      <c r="AH453" s="55">
        <v>0</v>
      </c>
      <c r="AI453" s="55">
        <v>0</v>
      </c>
      <c r="AJ453" s="55">
        <v>0</v>
      </c>
      <c r="AK453" s="55">
        <v>0</v>
      </c>
      <c r="AL453" s="55">
        <v>0</v>
      </c>
      <c r="AM453" s="55">
        <v>2095165.4553</v>
      </c>
      <c r="AN453" s="63">
        <v>160486.75260000001</v>
      </c>
      <c r="AO453" s="64">
        <v>295170.69331494003</v>
      </c>
      <c r="AP453" s="61">
        <f>+N453-'Приложение №2'!E439</f>
        <v>-34031.465264299477</v>
      </c>
      <c r="AQ453" s="1">
        <f>1500891.17-445165.35</f>
        <v>1055725.8199999998</v>
      </c>
      <c r="AR453" s="3">
        <f t="shared" si="140"/>
        <v>510486.54</v>
      </c>
      <c r="AS453" s="3">
        <f>+(K453*10+L453*20)*12*30-179374.89</f>
        <v>17837797.109999999</v>
      </c>
      <c r="AT453" s="6">
        <f t="shared" si="138"/>
        <v>-17837797.109999999</v>
      </c>
      <c r="AU453" s="6" t="e">
        <v>#REF!</v>
      </c>
      <c r="AV453" s="6" t="e">
        <v>#REF!</v>
      </c>
      <c r="AW453" s="62">
        <f t="shared" si="141"/>
        <v>6482605.1367851608</v>
      </c>
      <c r="AX453" s="55"/>
      <c r="AY453" s="55">
        <v>2485979.4267953401</v>
      </c>
      <c r="AZ453" s="55">
        <v>0</v>
      </c>
      <c r="BA453" s="55">
        <v>1661185.08</v>
      </c>
      <c r="BB453" s="55"/>
      <c r="BC453" s="55"/>
      <c r="BD453" s="55"/>
      <c r="BE453" s="55">
        <v>0</v>
      </c>
      <c r="BF453" s="55">
        <v>0</v>
      </c>
      <c r="BG453" s="55">
        <v>2047663.62</v>
      </c>
      <c r="BH453" s="55">
        <v>0</v>
      </c>
      <c r="BI453" s="55"/>
      <c r="BJ453" s="55"/>
      <c r="BK453" s="63"/>
      <c r="BL453" s="111">
        <v>287777.00998982001</v>
      </c>
      <c r="BM453" s="62">
        <f t="shared" si="142"/>
        <v>7445775.2167851608</v>
      </c>
      <c r="BN453" s="55"/>
      <c r="BO453" s="55">
        <v>2485979.4267953401</v>
      </c>
      <c r="BP453" s="55">
        <v>0</v>
      </c>
      <c r="BQ453" s="55">
        <v>1661185.08</v>
      </c>
      <c r="BR453" s="55"/>
      <c r="BS453" s="55"/>
      <c r="BT453" s="55"/>
      <c r="BU453" s="55">
        <v>0</v>
      </c>
      <c r="BV453" s="55">
        <v>0</v>
      </c>
      <c r="BW453" s="55">
        <v>3010833.7</v>
      </c>
      <c r="BX453" s="55">
        <v>0</v>
      </c>
      <c r="BY453" s="55"/>
      <c r="BZ453" s="55"/>
      <c r="CA453" s="63"/>
      <c r="CB453" s="64">
        <v>287777.00998982001</v>
      </c>
      <c r="CD453" s="3"/>
    </row>
    <row r="454" spans="1:83" x14ac:dyDescent="0.25">
      <c r="A454" s="105">
        <f t="shared" si="133"/>
        <v>433</v>
      </c>
      <c r="B454" s="107">
        <v>220</v>
      </c>
      <c r="C454" s="53" t="s">
        <v>206</v>
      </c>
      <c r="D454" s="53" t="s">
        <v>210</v>
      </c>
      <c r="E454" s="54">
        <v>1978</v>
      </c>
      <c r="F454" s="54">
        <v>2007</v>
      </c>
      <c r="G454" s="54" t="s">
        <v>64</v>
      </c>
      <c r="H454" s="54">
        <v>4</v>
      </c>
      <c r="I454" s="54">
        <v>4</v>
      </c>
      <c r="J454" s="55">
        <v>3576.31</v>
      </c>
      <c r="K454" s="55">
        <v>2733.31</v>
      </c>
      <c r="L454" s="55">
        <v>843</v>
      </c>
      <c r="M454" s="56">
        <v>110</v>
      </c>
      <c r="N454" s="112">
        <f t="shared" si="137"/>
        <v>3126144.1751458007</v>
      </c>
      <c r="O454" s="55"/>
      <c r="P454" s="55">
        <v>1242484.1200000001</v>
      </c>
      <c r="Q454" s="63"/>
      <c r="R454" s="63">
        <v>750843.59514580003</v>
      </c>
      <c r="S454" s="63">
        <v>1132816.46</v>
      </c>
      <c r="T454" s="113">
        <v>4.65661287307739E-10</v>
      </c>
      <c r="U454" s="55">
        <v>865.45074256588498</v>
      </c>
      <c r="V454" s="55">
        <v>865.45074256588498</v>
      </c>
      <c r="W454" s="59">
        <v>2023</v>
      </c>
      <c r="X454" s="6" t="e">
        <v>#REF!</v>
      </c>
      <c r="Z454" s="62">
        <f t="shared" si="139"/>
        <v>14323988.610000001</v>
      </c>
      <c r="AA454" s="55">
        <v>6271198.8006540602</v>
      </c>
      <c r="AB454" s="55">
        <v>2218821.2026701001</v>
      </c>
      <c r="AC454" s="55">
        <v>0</v>
      </c>
      <c r="AD454" s="55">
        <v>1451323.2211791601</v>
      </c>
      <c r="AE454" s="55">
        <v>1857119.41303938</v>
      </c>
      <c r="AF454" s="55"/>
      <c r="AG454" s="55">
        <v>248829.75972035999</v>
      </c>
      <c r="AH454" s="55">
        <v>0</v>
      </c>
      <c r="AI454" s="55">
        <v>0</v>
      </c>
      <c r="AJ454" s="55">
        <v>0</v>
      </c>
      <c r="AK454" s="55">
        <v>0</v>
      </c>
      <c r="AL454" s="55">
        <v>0</v>
      </c>
      <c r="AM454" s="55">
        <v>1870006.4417999999</v>
      </c>
      <c r="AN454" s="63">
        <v>143239.8861</v>
      </c>
      <c r="AO454" s="64">
        <v>263449.88483693998</v>
      </c>
      <c r="AP454" s="61">
        <f>+N454-'Приложение №2'!E454</f>
        <v>0</v>
      </c>
      <c r="AQ454" s="1">
        <f>1278728.82-485172.67</f>
        <v>793556.15000000014</v>
      </c>
      <c r="AR454" s="3">
        <f t="shared" si="140"/>
        <v>450769.61999999994</v>
      </c>
      <c r="AS454" s="3">
        <f>+(K454*10+L454*20)*12*30-175262.76</f>
        <v>15734253.239999998</v>
      </c>
      <c r="AT454" s="6">
        <f t="shared" si="138"/>
        <v>-14601436.779999997</v>
      </c>
      <c r="AU454" s="6" t="e">
        <v>#REF!</v>
      </c>
      <c r="AV454" s="6" t="e">
        <v>#REF!</v>
      </c>
      <c r="AW454" s="62">
        <f t="shared" si="141"/>
        <v>3095120.1451458</v>
      </c>
      <c r="AX454" s="55"/>
      <c r="AY454" s="55"/>
      <c r="AZ454" s="55">
        <v>0</v>
      </c>
      <c r="BA454" s="55">
        <v>1490189.54</v>
      </c>
      <c r="BB454" s="55"/>
      <c r="BC454" s="55"/>
      <c r="BD454" s="55"/>
      <c r="BE454" s="55">
        <v>0</v>
      </c>
      <c r="BF454" s="55">
        <v>0</v>
      </c>
      <c r="BG454" s="55">
        <v>1396600.96</v>
      </c>
      <c r="BH454" s="55">
        <v>0</v>
      </c>
      <c r="BI454" s="55"/>
      <c r="BJ454" s="55"/>
      <c r="BK454" s="63"/>
      <c r="BL454" s="111">
        <v>208329.64514579999</v>
      </c>
      <c r="BM454" s="62">
        <f t="shared" si="142"/>
        <v>3095120.1451458</v>
      </c>
      <c r="BN454" s="55"/>
      <c r="BO454" s="55"/>
      <c r="BP454" s="55">
        <v>0</v>
      </c>
      <c r="BQ454" s="55">
        <v>1490189.54</v>
      </c>
      <c r="BR454" s="55"/>
      <c r="BS454" s="55"/>
      <c r="BT454" s="55"/>
      <c r="BU454" s="55">
        <v>0</v>
      </c>
      <c r="BV454" s="55">
        <v>0</v>
      </c>
      <c r="BW454" s="55">
        <v>1396600.96</v>
      </c>
      <c r="BX454" s="55">
        <v>0</v>
      </c>
      <c r="BY454" s="55"/>
      <c r="BZ454" s="55"/>
      <c r="CA454" s="63"/>
      <c r="CB454" s="64">
        <v>208329.64514579999</v>
      </c>
      <c r="CD454" s="6"/>
    </row>
    <row r="455" spans="1:83" x14ac:dyDescent="0.25">
      <c r="A455" s="105">
        <f t="shared" si="133"/>
        <v>434</v>
      </c>
      <c r="B455" s="107">
        <f>+B454+1</f>
        <v>221</v>
      </c>
      <c r="C455" s="53" t="s">
        <v>397</v>
      </c>
      <c r="D455" s="53" t="s">
        <v>491</v>
      </c>
      <c r="E455" s="54">
        <v>1984</v>
      </c>
      <c r="F455" s="54">
        <v>2010</v>
      </c>
      <c r="G455" s="54" t="s">
        <v>64</v>
      </c>
      <c r="H455" s="54">
        <v>5</v>
      </c>
      <c r="I455" s="54">
        <v>4</v>
      </c>
      <c r="J455" s="55">
        <v>3209.1</v>
      </c>
      <c r="K455" s="55">
        <v>1814.6</v>
      </c>
      <c r="L455" s="55">
        <v>635</v>
      </c>
      <c r="M455" s="56">
        <v>66</v>
      </c>
      <c r="N455" s="112">
        <f t="shared" si="137"/>
        <v>526378.29946851043</v>
      </c>
      <c r="O455" s="55"/>
      <c r="P455" s="63">
        <v>6743.2399999999898</v>
      </c>
      <c r="Q455" s="63"/>
      <c r="R455" s="63">
        <v>519635.05946850998</v>
      </c>
      <c r="S455" s="63"/>
      <c r="T455" s="113">
        <v>4.65661287307739E-10</v>
      </c>
      <c r="U455" s="63">
        <v>214.88336849628899</v>
      </c>
      <c r="V455" s="63">
        <v>214.88336849628899</v>
      </c>
      <c r="W455" s="59">
        <v>2023</v>
      </c>
      <c r="X455" s="6" t="e">
        <v>#REF!</v>
      </c>
      <c r="Z455" s="62">
        <f t="shared" si="139"/>
        <v>1865966.0654482802</v>
      </c>
      <c r="AA455" s="55"/>
      <c r="AB455" s="55"/>
      <c r="AC455" s="55"/>
      <c r="AD455" s="55">
        <v>1570389.5768170101</v>
      </c>
      <c r="AE455" s="55">
        <v>0</v>
      </c>
      <c r="AF455" s="55"/>
      <c r="AG455" s="55">
        <v>0</v>
      </c>
      <c r="AH455" s="55">
        <v>0</v>
      </c>
      <c r="AI455" s="55">
        <v>0</v>
      </c>
      <c r="AJ455" s="55">
        <v>0</v>
      </c>
      <c r="AK455" s="55">
        <v>0</v>
      </c>
      <c r="AL455" s="55">
        <v>0</v>
      </c>
      <c r="AM455" s="55">
        <v>242575.588508277</v>
      </c>
      <c r="AN455" s="63">
        <v>18659.660654482901</v>
      </c>
      <c r="AO455" s="64">
        <v>34341.239468510197</v>
      </c>
      <c r="AP455" s="61">
        <f>+N455-'Приложение №2'!E455</f>
        <v>0</v>
      </c>
      <c r="AQ455" s="1">
        <v>1304593.93</v>
      </c>
      <c r="AR455" s="3">
        <f t="shared" si="140"/>
        <v>314629.2</v>
      </c>
      <c r="AS455" s="3">
        <f>+(K455*10+L455*20)*12*30</f>
        <v>11104560</v>
      </c>
      <c r="AT455" s="6">
        <f t="shared" si="138"/>
        <v>-11104560</v>
      </c>
      <c r="AW455" s="62">
        <f t="shared" si="141"/>
        <v>526378.2994685102</v>
      </c>
      <c r="AX455" s="55"/>
      <c r="AY455" s="55"/>
      <c r="AZ455" s="55"/>
      <c r="BA455" s="55">
        <v>492037.06</v>
      </c>
      <c r="BB455" s="55">
        <v>0</v>
      </c>
      <c r="BC455" s="55"/>
      <c r="BD455" s="55"/>
      <c r="BE455" s="55">
        <v>0</v>
      </c>
      <c r="BF455" s="55">
        <v>0</v>
      </c>
      <c r="BG455" s="55">
        <v>0</v>
      </c>
      <c r="BH455" s="55">
        <v>0</v>
      </c>
      <c r="BI455" s="55">
        <v>0</v>
      </c>
      <c r="BJ455" s="55"/>
      <c r="BK455" s="63"/>
      <c r="BL455" s="111">
        <v>34341.239468510197</v>
      </c>
      <c r="BM455" s="62">
        <f t="shared" si="142"/>
        <v>526378.2994685102</v>
      </c>
      <c r="BN455" s="55"/>
      <c r="BO455" s="55"/>
      <c r="BP455" s="55"/>
      <c r="BQ455" s="55">
        <v>492037.06</v>
      </c>
      <c r="BR455" s="55">
        <v>0</v>
      </c>
      <c r="BS455" s="55"/>
      <c r="BT455" s="55"/>
      <c r="BU455" s="55">
        <v>0</v>
      </c>
      <c r="BV455" s="55">
        <v>0</v>
      </c>
      <c r="BW455" s="55">
        <v>0</v>
      </c>
      <c r="BX455" s="55">
        <v>0</v>
      </c>
      <c r="BY455" s="55">
        <v>0</v>
      </c>
      <c r="BZ455" s="55"/>
      <c r="CA455" s="63"/>
      <c r="CB455" s="64">
        <v>34341.239468510197</v>
      </c>
      <c r="CD455" s="6"/>
    </row>
    <row r="456" spans="1:83" x14ac:dyDescent="0.25">
      <c r="A456" s="105">
        <f t="shared" si="133"/>
        <v>435</v>
      </c>
      <c r="B456" s="107">
        <f>+B455+1</f>
        <v>222</v>
      </c>
      <c r="C456" s="53" t="s">
        <v>397</v>
      </c>
      <c r="D456" s="53" t="s">
        <v>492</v>
      </c>
      <c r="E456" s="54">
        <v>1979</v>
      </c>
      <c r="F456" s="54">
        <v>2013</v>
      </c>
      <c r="G456" s="54" t="s">
        <v>64</v>
      </c>
      <c r="H456" s="54">
        <v>5</v>
      </c>
      <c r="I456" s="54">
        <v>4</v>
      </c>
      <c r="J456" s="55">
        <v>3313.8</v>
      </c>
      <c r="K456" s="55">
        <v>2402.9</v>
      </c>
      <c r="L456" s="55">
        <v>0</v>
      </c>
      <c r="M456" s="56">
        <v>83</v>
      </c>
      <c r="N456" s="112">
        <f t="shared" si="137"/>
        <v>466454.17863589799</v>
      </c>
      <c r="O456" s="55"/>
      <c r="P456" s="63">
        <v>2800.7600000000102</v>
      </c>
      <c r="Q456" s="63"/>
      <c r="R456" s="63">
        <v>463653.41863589798</v>
      </c>
      <c r="S456" s="63">
        <v>0</v>
      </c>
      <c r="T456" s="113"/>
      <c r="U456" s="63">
        <v>194.12134447371901</v>
      </c>
      <c r="V456" s="63">
        <v>194.12134447371901</v>
      </c>
      <c r="W456" s="59">
        <v>2023</v>
      </c>
      <c r="X456" s="6" t="e">
        <v>#REF!</v>
      </c>
      <c r="Z456" s="62">
        <f t="shared" si="139"/>
        <v>2386447.4372907188</v>
      </c>
      <c r="AA456" s="55"/>
      <c r="AB456" s="55"/>
      <c r="AC456" s="55"/>
      <c r="AD456" s="55">
        <v>2008424.61743412</v>
      </c>
      <c r="AE456" s="55">
        <v>0</v>
      </c>
      <c r="AF456" s="55"/>
      <c r="AG456" s="55">
        <v>0</v>
      </c>
      <c r="AH456" s="55">
        <v>0</v>
      </c>
      <c r="AI456" s="55">
        <v>0</v>
      </c>
      <c r="AJ456" s="55">
        <v>0</v>
      </c>
      <c r="AK456" s="55">
        <v>0</v>
      </c>
      <c r="AL456" s="55">
        <v>0</v>
      </c>
      <c r="AM456" s="55">
        <v>310238.16684779298</v>
      </c>
      <c r="AN456" s="63">
        <v>23864.4743729072</v>
      </c>
      <c r="AO456" s="64">
        <v>43920.178635898403</v>
      </c>
      <c r="AP456" s="61">
        <f>+N456-'Приложение №2'!E456</f>
        <v>0</v>
      </c>
      <c r="AQ456" s="1">
        <f>846724.36-198805.3544</f>
        <v>647919.00560000003</v>
      </c>
      <c r="AR456" s="3">
        <f t="shared" si="140"/>
        <v>245095.8</v>
      </c>
      <c r="AS456" s="3">
        <f>+(K456*10+L456*20)*12*30-658098.6</f>
        <v>7992341.4000000004</v>
      </c>
      <c r="AT456" s="6">
        <f t="shared" si="138"/>
        <v>-7992341.4000000004</v>
      </c>
      <c r="AW456" s="62">
        <f t="shared" si="141"/>
        <v>466454.1786358984</v>
      </c>
      <c r="AX456" s="55"/>
      <c r="AY456" s="55"/>
      <c r="AZ456" s="55"/>
      <c r="BA456" s="55">
        <v>422534</v>
      </c>
      <c r="BB456" s="55">
        <v>0</v>
      </c>
      <c r="BC456" s="55"/>
      <c r="BD456" s="55"/>
      <c r="BE456" s="55">
        <v>0</v>
      </c>
      <c r="BF456" s="55">
        <v>0</v>
      </c>
      <c r="BG456" s="55">
        <v>0</v>
      </c>
      <c r="BH456" s="55">
        <v>0</v>
      </c>
      <c r="BI456" s="55">
        <v>0</v>
      </c>
      <c r="BJ456" s="55"/>
      <c r="BK456" s="63"/>
      <c r="BL456" s="111">
        <v>43920.178635898403</v>
      </c>
      <c r="BM456" s="62">
        <f t="shared" si="142"/>
        <v>466454.1786358984</v>
      </c>
      <c r="BN456" s="55"/>
      <c r="BO456" s="55"/>
      <c r="BP456" s="55"/>
      <c r="BQ456" s="55">
        <v>422534</v>
      </c>
      <c r="BR456" s="55">
        <v>0</v>
      </c>
      <c r="BS456" s="55"/>
      <c r="BT456" s="55"/>
      <c r="BU456" s="55">
        <v>0</v>
      </c>
      <c r="BV456" s="55">
        <v>0</v>
      </c>
      <c r="BW456" s="55">
        <v>0</v>
      </c>
      <c r="BX456" s="55">
        <v>0</v>
      </c>
      <c r="BY456" s="55">
        <v>0</v>
      </c>
      <c r="BZ456" s="55"/>
      <c r="CA456" s="63"/>
      <c r="CB456" s="64">
        <v>43920.178635898403</v>
      </c>
      <c r="CD456" s="6"/>
    </row>
    <row r="457" spans="1:83" x14ac:dyDescent="0.25">
      <c r="A457" s="105">
        <f t="shared" si="133"/>
        <v>436</v>
      </c>
      <c r="B457" s="107">
        <f>+B456+1</f>
        <v>223</v>
      </c>
      <c r="C457" s="53" t="s">
        <v>397</v>
      </c>
      <c r="D457" s="53" t="s">
        <v>493</v>
      </c>
      <c r="E457" s="54">
        <v>1983</v>
      </c>
      <c r="F457" s="54">
        <v>2013</v>
      </c>
      <c r="G457" s="54" t="s">
        <v>64</v>
      </c>
      <c r="H457" s="54">
        <v>5</v>
      </c>
      <c r="I457" s="54">
        <v>4</v>
      </c>
      <c r="J457" s="55">
        <v>3317.4</v>
      </c>
      <c r="K457" s="55">
        <v>2427.1</v>
      </c>
      <c r="L457" s="55">
        <v>0</v>
      </c>
      <c r="M457" s="56">
        <v>71</v>
      </c>
      <c r="N457" s="112">
        <f t="shared" si="137"/>
        <v>616864.420409963</v>
      </c>
      <c r="O457" s="55"/>
      <c r="P457" s="63"/>
      <c r="Q457" s="63"/>
      <c r="R457" s="63">
        <v>616864.420409963</v>
      </c>
      <c r="S457" s="63"/>
      <c r="T457" s="63"/>
      <c r="U457" s="55">
        <v>1644.3863048123101</v>
      </c>
      <c r="V457" s="55">
        <v>1644.3863048123101</v>
      </c>
      <c r="W457" s="59">
        <v>2023</v>
      </c>
      <c r="X457" s="6" t="e">
        <v>#REF!</v>
      </c>
      <c r="Z457" s="62">
        <f t="shared" si="139"/>
        <v>3608535.147010555</v>
      </c>
      <c r="AA457" s="55">
        <v>0</v>
      </c>
      <c r="AB457" s="55">
        <v>0</v>
      </c>
      <c r="AC457" s="55">
        <v>3142868.1204294302</v>
      </c>
      <c r="AD457" s="55">
        <v>0</v>
      </c>
      <c r="AE457" s="55">
        <v>0</v>
      </c>
      <c r="AF457" s="55"/>
      <c r="AG457" s="55">
        <v>0</v>
      </c>
      <c r="AH457" s="55">
        <v>0</v>
      </c>
      <c r="AI457" s="55">
        <v>0</v>
      </c>
      <c r="AJ457" s="55">
        <v>0</v>
      </c>
      <c r="AK457" s="55">
        <v>0</v>
      </c>
      <c r="AL457" s="55">
        <v>0</v>
      </c>
      <c r="AM457" s="55">
        <v>360853.514701056</v>
      </c>
      <c r="AN457" s="63">
        <v>36085.351470105597</v>
      </c>
      <c r="AO457" s="64">
        <v>68728.160409963093</v>
      </c>
      <c r="AP457" s="61">
        <f>+N457-'Приложение №2'!E457</f>
        <v>0</v>
      </c>
      <c r="AQ457" s="6">
        <f>701008.17</f>
        <v>701008.17</v>
      </c>
      <c r="AR457" s="3">
        <f t="shared" si="140"/>
        <v>247564.19999999998</v>
      </c>
      <c r="AS457" s="3">
        <f>+(K457*10+L457*20)*12*30</f>
        <v>8737560</v>
      </c>
      <c r="AT457" s="6">
        <f t="shared" si="138"/>
        <v>-8737560</v>
      </c>
      <c r="AU457" s="6" t="e">
        <v>#REF!</v>
      </c>
      <c r="AV457" s="6" t="e">
        <v>#REF!</v>
      </c>
      <c r="AW457" s="62">
        <f t="shared" si="141"/>
        <v>3991090.0004099631</v>
      </c>
      <c r="AX457" s="55">
        <v>0</v>
      </c>
      <c r="AY457" s="55">
        <v>0</v>
      </c>
      <c r="AZ457" s="55">
        <v>3374225.58</v>
      </c>
      <c r="BA457" s="55">
        <v>548136.26</v>
      </c>
      <c r="BB457" s="55">
        <v>0</v>
      </c>
      <c r="BC457" s="55"/>
      <c r="BD457" s="55"/>
      <c r="BE457" s="55">
        <v>0</v>
      </c>
      <c r="BF457" s="55">
        <v>0</v>
      </c>
      <c r="BG457" s="55">
        <v>0</v>
      </c>
      <c r="BH457" s="55">
        <v>0</v>
      </c>
      <c r="BI457" s="55">
        <v>0</v>
      </c>
      <c r="BJ457" s="55"/>
      <c r="BK457" s="63"/>
      <c r="BL457" s="111">
        <v>68728.160409963093</v>
      </c>
      <c r="BM457" s="62">
        <f t="shared" si="142"/>
        <v>3991090.0004099631</v>
      </c>
      <c r="BN457" s="55">
        <v>0</v>
      </c>
      <c r="BO457" s="55">
        <v>0</v>
      </c>
      <c r="BP457" s="55">
        <v>3374225.58</v>
      </c>
      <c r="BQ457" s="55">
        <v>548136.26</v>
      </c>
      <c r="BR457" s="55">
        <v>0</v>
      </c>
      <c r="BS457" s="55"/>
      <c r="BT457" s="55"/>
      <c r="BU457" s="55">
        <v>0</v>
      </c>
      <c r="BV457" s="55">
        <v>0</v>
      </c>
      <c r="BW457" s="55">
        <v>0</v>
      </c>
      <c r="BX457" s="55">
        <v>0</v>
      </c>
      <c r="BY457" s="55">
        <v>0</v>
      </c>
      <c r="BZ457" s="55"/>
      <c r="CA457" s="63"/>
      <c r="CB457" s="64">
        <v>68728.160409963093</v>
      </c>
      <c r="CD457" s="3"/>
    </row>
    <row r="458" spans="1:83" x14ac:dyDescent="0.25">
      <c r="A458" s="105">
        <f t="shared" si="133"/>
        <v>437</v>
      </c>
      <c r="B458" s="107" t="s">
        <v>455</v>
      </c>
      <c r="C458" s="107" t="s">
        <v>214</v>
      </c>
      <c r="D458" s="107" t="s">
        <v>401</v>
      </c>
      <c r="E458" s="54">
        <v>1984</v>
      </c>
      <c r="F458" s="54">
        <v>1984</v>
      </c>
      <c r="G458" s="54" t="s">
        <v>64</v>
      </c>
      <c r="H458" s="54">
        <v>5</v>
      </c>
      <c r="I458" s="54">
        <v>4</v>
      </c>
      <c r="J458" s="55">
        <v>3359.4</v>
      </c>
      <c r="K458" s="55">
        <v>2391.8000000000002</v>
      </c>
      <c r="L458" s="55">
        <v>553.20000000000005</v>
      </c>
      <c r="M458" s="56">
        <v>62</v>
      </c>
      <c r="N458" s="108">
        <f t="shared" si="137"/>
        <v>26033057.127377301</v>
      </c>
      <c r="O458" s="63"/>
      <c r="P458" s="63">
        <v>22977257.241377302</v>
      </c>
      <c r="Q458" s="63"/>
      <c r="R458" s="63">
        <v>532568.43999999994</v>
      </c>
      <c r="S458" s="63">
        <v>20527.639999999701</v>
      </c>
      <c r="T458" s="63">
        <v>2502703.8059999999</v>
      </c>
      <c r="U458" s="55">
        <v>9447.5019991094505</v>
      </c>
      <c r="V458" s="55">
        <v>9447.5019991094505</v>
      </c>
      <c r="W458" s="59">
        <v>2023</v>
      </c>
      <c r="X458" s="6" t="e">
        <v>#REF!</v>
      </c>
      <c r="Z458" s="62">
        <f t="shared" si="139"/>
        <v>24399375.708956137</v>
      </c>
      <c r="AA458" s="55">
        <v>0</v>
      </c>
      <c r="AB458" s="55">
        <v>0</v>
      </c>
      <c r="AC458" s="55">
        <v>0</v>
      </c>
      <c r="AD458" s="55">
        <v>0</v>
      </c>
      <c r="AE458" s="55">
        <v>0</v>
      </c>
      <c r="AF458" s="55"/>
      <c r="AG458" s="55">
        <v>0</v>
      </c>
      <c r="AH458" s="55">
        <v>0</v>
      </c>
      <c r="AI458" s="55">
        <v>0</v>
      </c>
      <c r="AJ458" s="55">
        <v>0</v>
      </c>
      <c r="AK458" s="55">
        <v>10229706.1</v>
      </c>
      <c r="AL458" s="55">
        <v>13577874.103205999</v>
      </c>
      <c r="AM458" s="55">
        <v>258631.32</v>
      </c>
      <c r="AN458" s="55">
        <v>39488.83</v>
      </c>
      <c r="AO458" s="64">
        <v>293675.35575013998</v>
      </c>
      <c r="AP458" s="61">
        <f>+N458-'Приложение №2'!E458</f>
        <v>0</v>
      </c>
      <c r="AQ458" s="6">
        <f>1110865.63-R278</f>
        <v>-1008162.0784741603</v>
      </c>
      <c r="AR458" s="3">
        <f t="shared" si="140"/>
        <v>356816.39999999997</v>
      </c>
      <c r="AS458" s="3">
        <f>+(K458*10+L458*20)*12*30-3112059.45-S278</f>
        <v>-2546810.0099999998</v>
      </c>
      <c r="AT458" s="6">
        <f t="shared" si="138"/>
        <v>2567337.6499999994</v>
      </c>
      <c r="AU458" s="6" t="e">
        <v>#REF!</v>
      </c>
      <c r="AV458" s="6" t="e">
        <v>#REF!</v>
      </c>
      <c r="AW458" s="62">
        <f t="shared" si="141"/>
        <v>27822893.387377329</v>
      </c>
      <c r="AX458" s="55"/>
      <c r="AY458" s="55"/>
      <c r="AZ458" s="55">
        <v>3949042.3</v>
      </c>
      <c r="BA458" s="55"/>
      <c r="BB458" s="55">
        <v>0</v>
      </c>
      <c r="BC458" s="55"/>
      <c r="BD458" s="55"/>
      <c r="BE458" s="55">
        <v>0</v>
      </c>
      <c r="BF458" s="55"/>
      <c r="BG458" s="55">
        <v>0</v>
      </c>
      <c r="BH458" s="55">
        <v>10229706.1</v>
      </c>
      <c r="BI458" s="55">
        <v>12638125.92</v>
      </c>
      <c r="BJ458" s="55"/>
      <c r="BK458" s="55"/>
      <c r="BL458" s="111">
        <v>1006019.06737733</v>
      </c>
      <c r="BM458" s="62">
        <f t="shared" si="142"/>
        <v>28531481.27737733</v>
      </c>
      <c r="BN458" s="55"/>
      <c r="BO458" s="55"/>
      <c r="BP458" s="118">
        <v>3897843.76</v>
      </c>
      <c r="BQ458" s="55"/>
      <c r="BR458" s="55">
        <v>0</v>
      </c>
      <c r="BS458" s="55"/>
      <c r="BT458" s="55"/>
      <c r="BU458" s="55">
        <v>0</v>
      </c>
      <c r="BV458" s="55"/>
      <c r="BW458" s="55">
        <v>0</v>
      </c>
      <c r="BX458" s="55">
        <v>10229706.1</v>
      </c>
      <c r="BY458" s="118">
        <v>13397912.35</v>
      </c>
      <c r="BZ458" s="55"/>
      <c r="CA458" s="55"/>
      <c r="CB458" s="64">
        <v>1006019.06737733</v>
      </c>
      <c r="CD458" s="3"/>
    </row>
    <row r="459" spans="1:83" x14ac:dyDescent="0.25">
      <c r="A459" s="105">
        <f t="shared" si="133"/>
        <v>438</v>
      </c>
      <c r="B459" s="107" t="s">
        <v>455</v>
      </c>
      <c r="C459" s="107" t="s">
        <v>224</v>
      </c>
      <c r="D459" s="107" t="s">
        <v>417</v>
      </c>
      <c r="E459" s="54">
        <v>1994</v>
      </c>
      <c r="F459" s="54">
        <v>2015</v>
      </c>
      <c r="G459" s="54" t="s">
        <v>64</v>
      </c>
      <c r="H459" s="54">
        <v>9</v>
      </c>
      <c r="I459" s="54">
        <v>4</v>
      </c>
      <c r="J459" s="55">
        <v>9059.2999999999993</v>
      </c>
      <c r="K459" s="55">
        <v>7958.2</v>
      </c>
      <c r="L459" s="55">
        <v>49</v>
      </c>
      <c r="M459" s="56">
        <v>376</v>
      </c>
      <c r="N459" s="108">
        <f t="shared" si="137"/>
        <v>96811446.793740585</v>
      </c>
      <c r="O459" s="63"/>
      <c r="P459" s="63">
        <v>57714537.439999998</v>
      </c>
      <c r="Q459" s="63"/>
      <c r="R459" s="63">
        <v>2626184.12</v>
      </c>
      <c r="S459" s="63">
        <v>27140016.4937406</v>
      </c>
      <c r="T459" s="63">
        <v>9330708.7400000002</v>
      </c>
      <c r="U459" s="63">
        <v>11258.2479020311</v>
      </c>
      <c r="V459" s="63">
        <v>1384.2830200640001</v>
      </c>
      <c r="W459" s="59">
        <v>2023</v>
      </c>
      <c r="X459" s="6" t="e">
        <v>#REF!</v>
      </c>
      <c r="Z459" s="62">
        <f t="shared" si="139"/>
        <v>167033614.95999992</v>
      </c>
      <c r="AA459" s="55">
        <v>18497723.436858099</v>
      </c>
      <c r="AB459" s="55">
        <v>12695079.720886501</v>
      </c>
      <c r="AC459" s="55">
        <v>7727724.5646585599</v>
      </c>
      <c r="AD459" s="55">
        <v>6972228.5386101604</v>
      </c>
      <c r="AE459" s="55">
        <v>0</v>
      </c>
      <c r="AF459" s="55"/>
      <c r="AG459" s="55">
        <v>889888.98620160006</v>
      </c>
      <c r="AH459" s="55">
        <v>0</v>
      </c>
      <c r="AI459" s="55">
        <v>0</v>
      </c>
      <c r="AJ459" s="55">
        <v>0</v>
      </c>
      <c r="AK459" s="55">
        <v>78339424.591046199</v>
      </c>
      <c r="AL459" s="55">
        <v>20601575.841979399</v>
      </c>
      <c r="AM459" s="55">
        <v>16452952.1394</v>
      </c>
      <c r="AN459" s="63">
        <v>1670336.1495999999</v>
      </c>
      <c r="AO459" s="64">
        <v>3186680.9907594002</v>
      </c>
      <c r="AP459" s="61">
        <f>+N459-'Приложение №2'!E459</f>
        <v>0</v>
      </c>
      <c r="AQ459" s="65">
        <f>5650783.47-5939473.29</f>
        <v>-288689.8200000003</v>
      </c>
      <c r="AR459" s="3">
        <f>+(K459*13.95+L459*23.65)*12*0.85</f>
        <v>1144192.548</v>
      </c>
      <c r="AS459" s="3">
        <f>+(K459*13.95+L459*23.65)*12*30</f>
        <v>40383266.399999999</v>
      </c>
      <c r="AT459" s="6">
        <f t="shared" si="138"/>
        <v>-13243249.906259399</v>
      </c>
      <c r="AU459" s="6" t="e">
        <v>#REF!</v>
      </c>
      <c r="AV459" s="6" t="e">
        <v>#REF!</v>
      </c>
      <c r="AW459" s="110">
        <f t="shared" si="141"/>
        <v>89595388.453943759</v>
      </c>
      <c r="AX459" s="55"/>
      <c r="AY459" s="55"/>
      <c r="AZ459" s="55">
        <v>7735463.9302031901</v>
      </c>
      <c r="BA459" s="55"/>
      <c r="BB459" s="55">
        <v>0</v>
      </c>
      <c r="BC459" s="55"/>
      <c r="BD459" s="55"/>
      <c r="BE459" s="55"/>
      <c r="BF459" s="55">
        <v>0</v>
      </c>
      <c r="BG459" s="55">
        <v>0</v>
      </c>
      <c r="BH459" s="55">
        <v>78603849.219999999</v>
      </c>
      <c r="BI459" s="55">
        <v>0</v>
      </c>
      <c r="BJ459" s="55">
        <v>256263</v>
      </c>
      <c r="BK459" s="63">
        <v>85421</v>
      </c>
      <c r="BL459" s="111">
        <v>2914391.3037405801</v>
      </c>
      <c r="BM459" s="110">
        <f t="shared" si="142"/>
        <v>88620501.163740575</v>
      </c>
      <c r="BN459" s="55"/>
      <c r="BO459" s="55"/>
      <c r="BP459" s="55">
        <v>6760576.6399999997</v>
      </c>
      <c r="BQ459" s="55"/>
      <c r="BR459" s="55">
        <v>0</v>
      </c>
      <c r="BS459" s="55"/>
      <c r="BT459" s="55"/>
      <c r="BU459" s="55"/>
      <c r="BV459" s="55">
        <v>0</v>
      </c>
      <c r="BW459" s="55">
        <v>0</v>
      </c>
      <c r="BX459" s="55">
        <v>78603849.219999999</v>
      </c>
      <c r="BY459" s="55">
        <v>0</v>
      </c>
      <c r="BZ459" s="55">
        <v>256263</v>
      </c>
      <c r="CA459" s="63">
        <v>85421</v>
      </c>
      <c r="CB459" s="64">
        <v>2914391.3037405801</v>
      </c>
      <c r="CD459" s="6"/>
      <c r="CE459" s="6"/>
    </row>
    <row r="460" spans="1:83" x14ac:dyDescent="0.25">
      <c r="A460" s="105">
        <f t="shared" si="133"/>
        <v>439</v>
      </c>
      <c r="B460" s="107">
        <v>224</v>
      </c>
      <c r="C460" s="53" t="s">
        <v>224</v>
      </c>
      <c r="D460" s="53" t="s">
        <v>227</v>
      </c>
      <c r="E460" s="54">
        <v>1989</v>
      </c>
      <c r="F460" s="54">
        <v>2014</v>
      </c>
      <c r="G460" s="54" t="s">
        <v>64</v>
      </c>
      <c r="H460" s="54">
        <v>9</v>
      </c>
      <c r="I460" s="54">
        <v>3</v>
      </c>
      <c r="J460" s="55">
        <v>6626.1</v>
      </c>
      <c r="K460" s="55">
        <v>6102.5</v>
      </c>
      <c r="L460" s="55">
        <v>67.8</v>
      </c>
      <c r="M460" s="56">
        <v>265</v>
      </c>
      <c r="N460" s="112">
        <f t="shared" si="137"/>
        <v>8113561.5209272001</v>
      </c>
      <c r="O460" s="63"/>
      <c r="P460" s="63">
        <v>3779579.42</v>
      </c>
      <c r="Q460" s="63"/>
      <c r="R460" s="63">
        <v>186090.51</v>
      </c>
      <c r="S460" s="63">
        <v>4147891.5909271999</v>
      </c>
      <c r="T460" s="63"/>
      <c r="U460" s="63">
        <v>3812.0594102356699</v>
      </c>
      <c r="V460" s="63">
        <v>3812.0594102356699</v>
      </c>
      <c r="W460" s="59">
        <v>2023</v>
      </c>
      <c r="X460" s="6" t="e">
        <v>#REF!</v>
      </c>
      <c r="Z460" s="62">
        <f t="shared" si="139"/>
        <v>133828117.43999989</v>
      </c>
      <c r="AA460" s="55">
        <v>13963940.4881831</v>
      </c>
      <c r="AB460" s="55">
        <v>9583521.8977096193</v>
      </c>
      <c r="AC460" s="55">
        <v>5833663.0608244799</v>
      </c>
      <c r="AD460" s="55">
        <v>5263338.7413885603</v>
      </c>
      <c r="AE460" s="55">
        <v>0</v>
      </c>
      <c r="AF460" s="55"/>
      <c r="AG460" s="55">
        <v>671777.6317728</v>
      </c>
      <c r="AH460" s="55">
        <v>0</v>
      </c>
      <c r="AI460" s="55">
        <v>6811959.918141</v>
      </c>
      <c r="AJ460" s="55">
        <v>0</v>
      </c>
      <c r="AK460" s="55">
        <v>59138470.018736601</v>
      </c>
      <c r="AL460" s="55">
        <v>15552139.698891999</v>
      </c>
      <c r="AM460" s="55">
        <v>13116434.001499999</v>
      </c>
      <c r="AN460" s="63">
        <v>1338281.1743999999</v>
      </c>
      <c r="AO460" s="64">
        <v>2554590.8084517401</v>
      </c>
      <c r="AP460" s="61">
        <f>+N460-'Приложение №2'!E460</f>
        <v>0</v>
      </c>
      <c r="AQ460" s="65">
        <f>3444334.74-R154</f>
        <v>2166388.4700000002</v>
      </c>
      <c r="AR460" s="3">
        <f>+(K460*13.29+L460*22.52)*12*0.85</f>
        <v>842816.62619999982</v>
      </c>
      <c r="AS460" s="3">
        <f>+(K460*13.29+L460*22.52)*12*30-S154</f>
        <v>0</v>
      </c>
      <c r="AT460" s="6">
        <f t="shared" si="138"/>
        <v>4147891.5909271999</v>
      </c>
      <c r="AU460" s="6" t="e">
        <v>#REF!</v>
      </c>
      <c r="AV460" s="6" t="e">
        <v>#REF!</v>
      </c>
      <c r="AW460" s="62">
        <f t="shared" si="141"/>
        <v>23521550.178977102</v>
      </c>
      <c r="AX460" s="55">
        <v>13963940.4881831</v>
      </c>
      <c r="BA460" s="55">
        <v>6043467.3980940003</v>
      </c>
      <c r="BB460" s="55">
        <v>0</v>
      </c>
      <c r="BC460" s="55"/>
      <c r="BD460" s="55">
        <v>671777.6317728</v>
      </c>
      <c r="BE460" s="55">
        <v>0</v>
      </c>
      <c r="BG460" s="55">
        <v>0</v>
      </c>
      <c r="BH460" s="55"/>
      <c r="BI460" s="55"/>
      <c r="BJ460" s="55"/>
      <c r="BK460" s="63"/>
      <c r="BL460" s="111">
        <v>2842364.6609272002</v>
      </c>
      <c r="BM460" s="62">
        <f t="shared" si="142"/>
        <v>23521550.178977102</v>
      </c>
      <c r="BN460" s="55">
        <v>13963940.4881831</v>
      </c>
      <c r="BQ460" s="55">
        <v>6043467.3980940003</v>
      </c>
      <c r="BR460" s="55">
        <v>0</v>
      </c>
      <c r="BS460" s="55"/>
      <c r="BT460" s="55">
        <v>671777.6317728</v>
      </c>
      <c r="BU460" s="55">
        <v>0</v>
      </c>
      <c r="BW460" s="55">
        <v>0</v>
      </c>
      <c r="BX460" s="55"/>
      <c r="BY460" s="55"/>
      <c r="BZ460" s="55"/>
      <c r="CA460" s="63"/>
      <c r="CB460" s="64">
        <v>2842364.6609272002</v>
      </c>
      <c r="CD460" s="6"/>
      <c r="CE460" s="6"/>
    </row>
    <row r="461" spans="1:83" x14ac:dyDescent="0.25">
      <c r="A461" s="105">
        <f t="shared" si="133"/>
        <v>440</v>
      </c>
      <c r="B461" s="106">
        <v>225</v>
      </c>
      <c r="C461" s="53" t="s">
        <v>224</v>
      </c>
      <c r="D461" s="53" t="s">
        <v>494</v>
      </c>
      <c r="E461" s="54">
        <v>2000</v>
      </c>
      <c r="F461" s="54">
        <v>2013</v>
      </c>
      <c r="G461" s="54" t="s">
        <v>64</v>
      </c>
      <c r="H461" s="54">
        <v>9</v>
      </c>
      <c r="I461" s="54">
        <v>6</v>
      </c>
      <c r="J461" s="55">
        <v>12225.7</v>
      </c>
      <c r="K461" s="55">
        <v>12225.7</v>
      </c>
      <c r="L461" s="55">
        <v>0</v>
      </c>
      <c r="M461" s="56">
        <v>575</v>
      </c>
      <c r="N461" s="112">
        <f t="shared" si="137"/>
        <v>18526577.097199999</v>
      </c>
      <c r="O461" s="55"/>
      <c r="P461" s="55"/>
      <c r="Q461" s="55"/>
      <c r="R461" s="55">
        <v>10608888.593</v>
      </c>
      <c r="S461" s="55">
        <v>7917688.5042000003</v>
      </c>
      <c r="T461" s="55">
        <v>0</v>
      </c>
      <c r="U461" s="55">
        <v>2096.1008367619002</v>
      </c>
      <c r="V461" s="55">
        <v>1390.2830200640001</v>
      </c>
      <c r="W461" s="59">
        <v>2023</v>
      </c>
      <c r="X461" s="6"/>
      <c r="Z461" s="57"/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  <c r="AK461" s="55"/>
      <c r="AL461" s="55"/>
      <c r="AM461" s="55"/>
      <c r="AN461" s="55"/>
      <c r="AO461" s="60"/>
      <c r="AP461" s="61">
        <f>+N461-'Приложение №2'!E461</f>
        <v>0</v>
      </c>
      <c r="AQ461" s="65">
        <v>8869293.7400000002</v>
      </c>
      <c r="AR461" s="3">
        <f>+(K461*13.95+L461*23.65)*12*0.85</f>
        <v>1739594.8530000001</v>
      </c>
      <c r="AS461" s="3">
        <f>+(K461*13.95+L461*23.65)*12*30</f>
        <v>61397465.400000006</v>
      </c>
      <c r="AT461" s="6">
        <f t="shared" si="138"/>
        <v>-53479776.895800009</v>
      </c>
      <c r="AU461" s="6" t="e">
        <v>#REF!</v>
      </c>
      <c r="AV461" s="6" t="e">
        <v>#REF!</v>
      </c>
      <c r="AW461" s="165">
        <f t="shared" si="141"/>
        <v>25626300</v>
      </c>
      <c r="AX461" s="55"/>
      <c r="AY461" s="55"/>
      <c r="AZ461" s="55"/>
      <c r="BA461" s="55"/>
      <c r="BB461" s="55"/>
      <c r="BC461" s="55"/>
      <c r="BD461" s="55"/>
      <c r="BE461" s="55">
        <v>24074781.292800002</v>
      </c>
      <c r="BF461" s="55"/>
      <c r="BG461" s="55"/>
      <c r="BH461" s="55"/>
      <c r="BI461" s="55"/>
      <c r="BJ461" s="55">
        <v>768789</v>
      </c>
      <c r="BK461" s="55">
        <v>256263</v>
      </c>
      <c r="BL461" s="60">
        <v>526466.70719999995</v>
      </c>
      <c r="BM461" s="165">
        <f t="shared" si="142"/>
        <v>25626300</v>
      </c>
      <c r="BN461" s="55"/>
      <c r="BO461" s="55"/>
      <c r="BP461" s="55"/>
      <c r="BQ461" s="55"/>
      <c r="BR461" s="55"/>
      <c r="BS461" s="55"/>
      <c r="BT461" s="55"/>
      <c r="BU461" s="55">
        <v>24074781.292800002</v>
      </c>
      <c r="BV461" s="55"/>
      <c r="BW461" s="55"/>
      <c r="BX461" s="55"/>
      <c r="BY461" s="55"/>
      <c r="BZ461" s="55">
        <v>768789</v>
      </c>
      <c r="CA461" s="55">
        <v>256263</v>
      </c>
      <c r="CB461" s="60">
        <v>526466.70719999995</v>
      </c>
      <c r="CD461" s="6"/>
    </row>
    <row r="462" spans="1:83" x14ac:dyDescent="0.25">
      <c r="A462" s="105">
        <f t="shared" si="133"/>
        <v>441</v>
      </c>
      <c r="B462" s="107">
        <v>226</v>
      </c>
      <c r="C462" s="53" t="s">
        <v>224</v>
      </c>
      <c r="D462" s="53" t="s">
        <v>495</v>
      </c>
      <c r="E462" s="54">
        <v>1970</v>
      </c>
      <c r="F462" s="54">
        <v>2015</v>
      </c>
      <c r="G462" s="54" t="s">
        <v>64</v>
      </c>
      <c r="H462" s="54">
        <v>4</v>
      </c>
      <c r="I462" s="54">
        <v>3</v>
      </c>
      <c r="J462" s="55">
        <v>2337.1999999999998</v>
      </c>
      <c r="K462" s="55">
        <v>1988.4</v>
      </c>
      <c r="L462" s="55">
        <v>46.7</v>
      </c>
      <c r="M462" s="56">
        <v>101</v>
      </c>
      <c r="N462" s="112">
        <f t="shared" si="137"/>
        <v>14437524.42279716</v>
      </c>
      <c r="O462" s="63"/>
      <c r="P462" s="63">
        <v>6918478.8700000001</v>
      </c>
      <c r="Q462" s="63"/>
      <c r="R462" s="63">
        <v>1648380.9534551699</v>
      </c>
      <c r="S462" s="63">
        <v>5870664.5993419904</v>
      </c>
      <c r="T462" s="63"/>
      <c r="U462" s="63">
        <v>10577.7377528377</v>
      </c>
      <c r="V462" s="63">
        <v>10577.7377528377</v>
      </c>
      <c r="W462" s="59">
        <v>2023</v>
      </c>
      <c r="X462" s="6" t="e">
        <v>#REF!</v>
      </c>
      <c r="Z462" s="62">
        <f t="shared" ref="Z462:Z480" si="143">SUM(AA462:AO462)</f>
        <v>25877715.080000002</v>
      </c>
      <c r="AA462" s="55">
        <v>5829165.7651718399</v>
      </c>
      <c r="AB462" s="55">
        <v>2137570.6530305399</v>
      </c>
      <c r="AC462" s="55">
        <v>2233259.7213103799</v>
      </c>
      <c r="AD462" s="55">
        <v>1398188.1572114399</v>
      </c>
      <c r="AE462" s="55">
        <v>0</v>
      </c>
      <c r="AF462" s="55"/>
      <c r="AG462" s="55">
        <v>192437.14870883999</v>
      </c>
      <c r="AH462" s="55">
        <v>0</v>
      </c>
      <c r="AI462" s="55">
        <v>10966540.7948166</v>
      </c>
      <c r="AJ462" s="55">
        <v>0</v>
      </c>
      <c r="AK462" s="55">
        <v>0</v>
      </c>
      <c r="AL462" s="55">
        <v>0</v>
      </c>
      <c r="AM462" s="55">
        <v>2364122.6417999999</v>
      </c>
      <c r="AN462" s="63">
        <v>258777.1508</v>
      </c>
      <c r="AO462" s="64">
        <v>497653.04715036001</v>
      </c>
      <c r="AP462" s="61">
        <f>+N462-'Приложение №2'!E462</f>
        <v>0</v>
      </c>
      <c r="AQ462" s="1">
        <v>960970.65</v>
      </c>
      <c r="AR462" s="3">
        <f>+(K462*10+L462*20)*12*0.85</f>
        <v>212343.6</v>
      </c>
      <c r="AS462" s="3">
        <f>+(K462*10+L462*20)*12*30</f>
        <v>7494480</v>
      </c>
      <c r="AT462" s="6">
        <f t="shared" si="138"/>
        <v>-1623815.4006580096</v>
      </c>
      <c r="AU462" s="6" t="e">
        <v>#REF!</v>
      </c>
      <c r="AV462" s="6" t="e">
        <v>#REF!</v>
      </c>
      <c r="AW462" s="62">
        <f t="shared" si="141"/>
        <v>21526754.1008</v>
      </c>
      <c r="AX462" s="55">
        <v>6351405.7500179997</v>
      </c>
      <c r="AY462" s="55">
        <v>2342376.7642799998</v>
      </c>
      <c r="AZ462" s="55"/>
      <c r="BA462" s="55"/>
      <c r="BB462" s="55">
        <v>0</v>
      </c>
      <c r="BC462" s="55"/>
      <c r="BD462" s="55">
        <v>192437.14870883999</v>
      </c>
      <c r="BE462" s="55">
        <v>0</v>
      </c>
      <c r="BF462" s="55">
        <v>12126879.564996</v>
      </c>
      <c r="BG462" s="55">
        <v>0</v>
      </c>
      <c r="BH462" s="55">
        <v>0</v>
      </c>
      <c r="BI462" s="55">
        <v>0</v>
      </c>
      <c r="BJ462" s="55"/>
      <c r="BK462" s="63"/>
      <c r="BL462" s="111">
        <v>513654.87279716</v>
      </c>
      <c r="BM462" s="62">
        <f t="shared" si="142"/>
        <v>21526754.1008</v>
      </c>
      <c r="BN462" s="55">
        <v>6351405.7500179997</v>
      </c>
      <c r="BO462" s="55">
        <v>2342376.7642799998</v>
      </c>
      <c r="BP462" s="55"/>
      <c r="BQ462" s="55"/>
      <c r="BR462" s="55">
        <v>0</v>
      </c>
      <c r="BS462" s="55"/>
      <c r="BT462" s="55">
        <v>192437.14870883999</v>
      </c>
      <c r="BU462" s="55">
        <v>0</v>
      </c>
      <c r="BV462" s="55">
        <v>12126879.564996</v>
      </c>
      <c r="BW462" s="55">
        <v>0</v>
      </c>
      <c r="BX462" s="55">
        <v>0</v>
      </c>
      <c r="BY462" s="55">
        <v>0</v>
      </c>
      <c r="BZ462" s="55"/>
      <c r="CA462" s="63"/>
      <c r="CB462" s="64">
        <v>513654.87279716</v>
      </c>
      <c r="CD462" s="74"/>
    </row>
    <row r="463" spans="1:83" x14ac:dyDescent="0.25">
      <c r="A463" s="105">
        <f t="shared" si="133"/>
        <v>442</v>
      </c>
      <c r="B463" s="107" t="s">
        <v>455</v>
      </c>
      <c r="C463" s="107" t="s">
        <v>224</v>
      </c>
      <c r="D463" s="107" t="s">
        <v>418</v>
      </c>
      <c r="E463" s="54">
        <v>1986</v>
      </c>
      <c r="F463" s="54">
        <v>2015</v>
      </c>
      <c r="G463" s="54" t="s">
        <v>64</v>
      </c>
      <c r="H463" s="54">
        <v>9</v>
      </c>
      <c r="I463" s="54">
        <v>1</v>
      </c>
      <c r="J463" s="55">
        <v>2147.3000000000002</v>
      </c>
      <c r="K463" s="55">
        <v>1765</v>
      </c>
      <c r="L463" s="55">
        <v>118.1</v>
      </c>
      <c r="M463" s="56">
        <v>71</v>
      </c>
      <c r="N463" s="108">
        <f t="shared" si="137"/>
        <v>3022117.4789920002</v>
      </c>
      <c r="O463" s="63"/>
      <c r="P463" s="63">
        <v>1436340.71</v>
      </c>
      <c r="Q463" s="63"/>
      <c r="R463" s="63"/>
      <c r="S463" s="63">
        <v>1585776.768992</v>
      </c>
      <c r="T463" s="63"/>
      <c r="U463" s="55">
        <v>10650.4915964548</v>
      </c>
      <c r="V463" s="55">
        <v>10650.4915964548</v>
      </c>
      <c r="W463" s="59">
        <v>2023</v>
      </c>
      <c r="X463" s="6" t="e">
        <v>#REF!</v>
      </c>
      <c r="Z463" s="62">
        <f t="shared" si="143"/>
        <v>20557934.949999999</v>
      </c>
      <c r="AA463" s="55">
        <v>4354337.0884977598</v>
      </c>
      <c r="AB463" s="55">
        <v>2988403.2292165798</v>
      </c>
      <c r="AC463" s="55">
        <v>1819095.0789144</v>
      </c>
      <c r="AD463" s="55">
        <v>1641252.41830956</v>
      </c>
      <c r="AE463" s="55">
        <v>0</v>
      </c>
      <c r="AF463" s="55"/>
      <c r="AG463" s="55">
        <v>209478.56798399999</v>
      </c>
      <c r="AH463" s="55">
        <v>0</v>
      </c>
      <c r="AI463" s="55">
        <v>2124154.6930044</v>
      </c>
      <c r="AJ463" s="55">
        <v>0</v>
      </c>
      <c r="AK463" s="55">
        <v>0</v>
      </c>
      <c r="AL463" s="55">
        <v>4849580.8718931004</v>
      </c>
      <c r="AM463" s="55">
        <v>1972729.6575</v>
      </c>
      <c r="AN463" s="63">
        <v>205579.34950000001</v>
      </c>
      <c r="AO463" s="64">
        <v>393323.99518020003</v>
      </c>
      <c r="AP463" s="61">
        <f>+N463-'Приложение №2'!E463</f>
        <v>0</v>
      </c>
      <c r="AQ463" s="1">
        <v>1032655.91</v>
      </c>
      <c r="AR463" s="3">
        <f>+(K463*13.29+L463*22.52)*12*0.85</f>
        <v>266387.91239999997</v>
      </c>
      <c r="AS463" s="3">
        <f>+(K463*13.29+L463*22.52)*12*30</f>
        <v>9401926.3200000003</v>
      </c>
      <c r="AT463" s="6">
        <f t="shared" si="138"/>
        <v>-7816149.551008</v>
      </c>
      <c r="AU463" s="6" t="e">
        <v>#REF!</v>
      </c>
      <c r="AV463" s="6" t="e">
        <v>#REF!</v>
      </c>
      <c r="AW463" s="62">
        <f t="shared" si="141"/>
        <v>20055940.725283999</v>
      </c>
      <c r="AX463" s="55">
        <v>4698966.264804</v>
      </c>
      <c r="AY463" s="55">
        <v>3271249.5477900002</v>
      </c>
      <c r="AZ463" s="55">
        <v>1989640.022412</v>
      </c>
      <c r="BA463" s="55">
        <v>1832647.696614</v>
      </c>
      <c r="BB463" s="55">
        <v>0</v>
      </c>
      <c r="BC463" s="55"/>
      <c r="BD463" s="55">
        <v>209478.56798399999</v>
      </c>
      <c r="BE463" s="55">
        <v>0</v>
      </c>
      <c r="BF463" s="55">
        <v>2326355.17</v>
      </c>
      <c r="BG463" s="55">
        <v>0</v>
      </c>
      <c r="BH463" s="55">
        <v>0</v>
      </c>
      <c r="BI463" s="55">
        <v>5299064.2766880002</v>
      </c>
      <c r="BJ463" s="55"/>
      <c r="BK463" s="63"/>
      <c r="BL463" s="111">
        <v>428539.178992</v>
      </c>
      <c r="BM463" s="62">
        <f t="shared" si="142"/>
        <v>17486564.368595999</v>
      </c>
      <c r="BN463" s="55">
        <v>4698966.264804</v>
      </c>
      <c r="BO463" s="55">
        <v>3271249.5477900002</v>
      </c>
      <c r="BP463" s="55">
        <v>1989640.022412</v>
      </c>
      <c r="BQ463" s="55">
        <v>1832647.696614</v>
      </c>
      <c r="BR463" s="55">
        <v>0</v>
      </c>
      <c r="BS463" s="55"/>
      <c r="BT463" s="55">
        <v>209478.56798399999</v>
      </c>
      <c r="BU463" s="55">
        <v>0</v>
      </c>
      <c r="BV463" s="55">
        <v>2326355.17</v>
      </c>
      <c r="BW463" s="55">
        <v>0</v>
      </c>
      <c r="BX463" s="55">
        <v>0</v>
      </c>
      <c r="BY463" s="55">
        <v>2729687.92</v>
      </c>
      <c r="BZ463" s="55"/>
      <c r="CA463" s="63"/>
      <c r="CB463" s="64">
        <v>428539.178992</v>
      </c>
      <c r="CD463" s="74"/>
    </row>
    <row r="464" spans="1:83" x14ac:dyDescent="0.25">
      <c r="A464" s="105">
        <f t="shared" si="133"/>
        <v>443</v>
      </c>
      <c r="B464" s="107" t="s">
        <v>455</v>
      </c>
      <c r="C464" s="107" t="s">
        <v>224</v>
      </c>
      <c r="D464" s="107" t="s">
        <v>419</v>
      </c>
      <c r="E464" s="54">
        <v>1991</v>
      </c>
      <c r="F464" s="54">
        <v>2015</v>
      </c>
      <c r="G464" s="54" t="s">
        <v>64</v>
      </c>
      <c r="H464" s="54">
        <v>9</v>
      </c>
      <c r="I464" s="54">
        <v>3</v>
      </c>
      <c r="J464" s="55">
        <v>6893.1</v>
      </c>
      <c r="K464" s="55">
        <v>6102.4</v>
      </c>
      <c r="L464" s="55">
        <v>65.5</v>
      </c>
      <c r="M464" s="56">
        <v>255</v>
      </c>
      <c r="N464" s="108">
        <f t="shared" si="137"/>
        <v>11186528.16468196</v>
      </c>
      <c r="O464" s="63"/>
      <c r="P464" s="63">
        <v>3554180.9</v>
      </c>
      <c r="Q464" s="63"/>
      <c r="R464" s="63">
        <v>952068.37</v>
      </c>
      <c r="S464" s="63">
        <v>6680278.8946819603</v>
      </c>
      <c r="T464" s="63"/>
      <c r="U464" s="55">
        <v>6681.5848132589499</v>
      </c>
      <c r="V464" s="55">
        <v>6681.5848132589499</v>
      </c>
      <c r="W464" s="59">
        <v>2023</v>
      </c>
      <c r="X464" s="6" t="e">
        <v>#REF!</v>
      </c>
      <c r="Z464" s="62">
        <f t="shared" si="143"/>
        <v>135273087.03</v>
      </c>
      <c r="AA464" s="55">
        <v>14114712.016718</v>
      </c>
      <c r="AB464" s="55">
        <v>9686997.1466872804</v>
      </c>
      <c r="AC464" s="55">
        <v>5896650.3147518402</v>
      </c>
      <c r="AD464" s="55">
        <v>5320168.0919898003</v>
      </c>
      <c r="AE464" s="55">
        <v>0</v>
      </c>
      <c r="AF464" s="55"/>
      <c r="AG464" s="55">
        <v>679030.95234239998</v>
      </c>
      <c r="AH464" s="55">
        <v>0</v>
      </c>
      <c r="AI464" s="55">
        <v>6885510.0487487996</v>
      </c>
      <c r="AJ464" s="55">
        <v>0</v>
      </c>
      <c r="AK464" s="55">
        <v>59777000.180442303</v>
      </c>
      <c r="AL464" s="55">
        <v>15720059.333967701</v>
      </c>
      <c r="AM464" s="55">
        <v>13258054.8255</v>
      </c>
      <c r="AN464" s="63">
        <v>1352730.8703000001</v>
      </c>
      <c r="AO464" s="64">
        <v>2582173.24855188</v>
      </c>
      <c r="AP464" s="61">
        <f>+N464-'Приложение №2'!E435</f>
        <v>7121802.1090943404</v>
      </c>
      <c r="AQ464" s="6">
        <f>3490024.25</f>
        <v>3490024.25</v>
      </c>
      <c r="AR464" s="3">
        <f>+(K464*13.29+L464*22.52)*12*0.85</f>
        <v>842274.75119999982</v>
      </c>
      <c r="AS464" s="3">
        <f>+(K464*13.29+L464*22.52)*12*30</f>
        <v>29727344.159999996</v>
      </c>
      <c r="AT464" s="6">
        <f t="shared" si="138"/>
        <v>-23047065.265318036</v>
      </c>
      <c r="AU464" s="6" t="e">
        <v>#REF!</v>
      </c>
      <c r="AV464" s="6" t="e">
        <v>#REF!</v>
      </c>
      <c r="AW464" s="62">
        <f t="shared" si="141"/>
        <v>41211346.969699867</v>
      </c>
      <c r="AX464" s="55">
        <v>14114712.016718</v>
      </c>
      <c r="AY464" s="55">
        <v>5068716.41</v>
      </c>
      <c r="AZ464" s="55"/>
      <c r="BA464" s="55">
        <v>5320168.0919898003</v>
      </c>
      <c r="BB464" s="55"/>
      <c r="BC464" s="55"/>
      <c r="BD464" s="55">
        <v>679030.95234239998</v>
      </c>
      <c r="BE464" s="55">
        <v>0</v>
      </c>
      <c r="BF464" s="55"/>
      <c r="BG464" s="55">
        <v>0</v>
      </c>
      <c r="BH464" s="55"/>
      <c r="BI464" s="55">
        <v>15720059.333967701</v>
      </c>
      <c r="BJ464" s="55"/>
      <c r="BK464" s="63"/>
      <c r="BL464" s="111">
        <v>308660.16468196001</v>
      </c>
      <c r="BM464" s="62">
        <f t="shared" si="142"/>
        <v>41211346.969699867</v>
      </c>
      <c r="BN464" s="55">
        <v>14114712.016718</v>
      </c>
      <c r="BO464" s="55">
        <v>5068716.41</v>
      </c>
      <c r="BP464" s="55"/>
      <c r="BQ464" s="55">
        <v>5320168.0919898003</v>
      </c>
      <c r="BR464" s="55"/>
      <c r="BS464" s="55"/>
      <c r="BT464" s="55">
        <v>679030.95234239998</v>
      </c>
      <c r="BU464" s="55">
        <v>0</v>
      </c>
      <c r="BV464" s="55"/>
      <c r="BW464" s="55">
        <v>0</v>
      </c>
      <c r="BX464" s="55"/>
      <c r="BY464" s="55">
        <v>15720059.333967701</v>
      </c>
      <c r="BZ464" s="55"/>
      <c r="CA464" s="63"/>
      <c r="CB464" s="64">
        <v>308660.16468196001</v>
      </c>
      <c r="CD464" s="6"/>
    </row>
    <row r="465" spans="1:83" x14ac:dyDescent="0.25">
      <c r="A465" s="105">
        <f t="shared" si="133"/>
        <v>444</v>
      </c>
      <c r="B465" s="107">
        <v>227</v>
      </c>
      <c r="C465" s="53" t="s">
        <v>224</v>
      </c>
      <c r="D465" s="53" t="s">
        <v>496</v>
      </c>
      <c r="E465" s="54">
        <v>1981</v>
      </c>
      <c r="F465" s="54">
        <v>2012</v>
      </c>
      <c r="G465" s="54" t="s">
        <v>64</v>
      </c>
      <c r="H465" s="54">
        <v>9</v>
      </c>
      <c r="I465" s="54">
        <v>1</v>
      </c>
      <c r="J465" s="55">
        <v>3186</v>
      </c>
      <c r="K465" s="55">
        <v>2438</v>
      </c>
      <c r="L465" s="55">
        <v>0</v>
      </c>
      <c r="M465" s="56">
        <v>147</v>
      </c>
      <c r="N465" s="112">
        <f t="shared" si="137"/>
        <v>13981232.051186481</v>
      </c>
      <c r="O465" s="55"/>
      <c r="P465" s="63">
        <v>373281.41480163101</v>
      </c>
      <c r="Q465" s="63"/>
      <c r="R465" s="63">
        <v>1671137.24773895</v>
      </c>
      <c r="S465" s="63">
        <v>11936813.3886459</v>
      </c>
      <c r="T465" s="63"/>
      <c r="U465" s="55">
        <v>10006.3379510254</v>
      </c>
      <c r="V465" s="55">
        <v>10006.3379510254</v>
      </c>
      <c r="W465" s="59">
        <v>2023</v>
      </c>
      <c r="X465" s="6" t="e">
        <v>#REF!</v>
      </c>
      <c r="Z465" s="62">
        <f t="shared" si="143"/>
        <v>50902320.63000004</v>
      </c>
      <c r="AA465" s="55">
        <v>5637051.2554028397</v>
      </c>
      <c r="AB465" s="55">
        <v>3868736.3499422399</v>
      </c>
      <c r="AC465" s="55">
        <v>2354969.76838536</v>
      </c>
      <c r="AD465" s="55">
        <v>2124737.6642049602</v>
      </c>
      <c r="AE465" s="55">
        <v>0</v>
      </c>
      <c r="AF465" s="55"/>
      <c r="AG465" s="55">
        <v>271187.41644960002</v>
      </c>
      <c r="AH465" s="55">
        <v>0</v>
      </c>
      <c r="AI465" s="55">
        <v>0</v>
      </c>
      <c r="AJ465" s="55">
        <v>0</v>
      </c>
      <c r="AK465" s="55">
        <v>23873389.253413599</v>
      </c>
      <c r="AL465" s="55">
        <v>6278185.5016536601</v>
      </c>
      <c r="AM465" s="55">
        <v>5013921.5710000005</v>
      </c>
      <c r="AN465" s="63">
        <v>509023.20630000002</v>
      </c>
      <c r="AO465" s="64">
        <v>971118.64324778004</v>
      </c>
      <c r="AP465" s="61">
        <f>+N465-'Приложение №2'!E465</f>
        <v>4.0978193283081055E-8</v>
      </c>
      <c r="AQ465" s="1">
        <v>1391149.44</v>
      </c>
      <c r="AR465" s="3">
        <f>+(K465*13.29+L465*22.52)*12*0.85</f>
        <v>330490.40399999998</v>
      </c>
      <c r="AS465" s="3">
        <f>+(K465*13.29+L465*22.52)*12*30</f>
        <v>11664367.199999999</v>
      </c>
      <c r="AT465" s="6">
        <f t="shared" si="138"/>
        <v>272446.18864590116</v>
      </c>
      <c r="AU465" s="6" t="e">
        <v>#REF!</v>
      </c>
      <c r="AV465" s="6" t="e">
        <v>#REF!</v>
      </c>
      <c r="AW465" s="62">
        <f t="shared" si="141"/>
        <v>24395451.924600039</v>
      </c>
      <c r="AX465" s="55"/>
      <c r="AY465" s="55"/>
      <c r="AZ465" s="55"/>
      <c r="BA465" s="55"/>
      <c r="BB465" s="55"/>
      <c r="BC465" s="55"/>
      <c r="BD465" s="55"/>
      <c r="BE465" s="55"/>
      <c r="BF465" s="55">
        <v>0</v>
      </c>
      <c r="BG465" s="55">
        <v>0</v>
      </c>
      <c r="BH465" s="55">
        <v>23873389.253413599</v>
      </c>
      <c r="BI465" s="55"/>
      <c r="BJ465" s="55"/>
      <c r="BK465" s="63"/>
      <c r="BL465" s="111">
        <v>522062.67118643998</v>
      </c>
      <c r="BM465" s="62">
        <f t="shared" si="142"/>
        <v>24395451.924600039</v>
      </c>
      <c r="BN465" s="55"/>
      <c r="BO465" s="55"/>
      <c r="BP465" s="55"/>
      <c r="BQ465" s="55"/>
      <c r="BR465" s="55"/>
      <c r="BS465" s="55"/>
      <c r="BT465" s="55"/>
      <c r="BU465" s="55"/>
      <c r="BV465" s="55">
        <v>0</v>
      </c>
      <c r="BW465" s="55">
        <v>0</v>
      </c>
      <c r="BX465" s="55">
        <v>23873389.253413599</v>
      </c>
      <c r="BY465" s="55"/>
      <c r="BZ465" s="55"/>
      <c r="CA465" s="63"/>
      <c r="CB465" s="64">
        <v>522062.67118643998</v>
      </c>
      <c r="CD465" s="6"/>
    </row>
    <row r="466" spans="1:83" x14ac:dyDescent="0.25">
      <c r="A466" s="105">
        <f t="shared" si="133"/>
        <v>445</v>
      </c>
      <c r="B466" s="107">
        <v>228</v>
      </c>
      <c r="C466" s="53" t="s">
        <v>224</v>
      </c>
      <c r="D466" s="53" t="s">
        <v>243</v>
      </c>
      <c r="E466" s="54">
        <v>1972</v>
      </c>
      <c r="F466" s="54">
        <v>2013</v>
      </c>
      <c r="G466" s="54" t="s">
        <v>64</v>
      </c>
      <c r="H466" s="54">
        <v>4</v>
      </c>
      <c r="I466" s="54">
        <v>6</v>
      </c>
      <c r="J466" s="55">
        <v>4437.8999999999996</v>
      </c>
      <c r="K466" s="55">
        <v>4088.2</v>
      </c>
      <c r="L466" s="55">
        <v>0</v>
      </c>
      <c r="M466" s="56">
        <v>207</v>
      </c>
      <c r="N466" s="112">
        <f t="shared" si="137"/>
        <v>11439719.945821799</v>
      </c>
      <c r="O466" s="55"/>
      <c r="P466" s="63">
        <v>0</v>
      </c>
      <c r="Q466" s="63"/>
      <c r="R466" s="63">
        <v>2349964.75</v>
      </c>
      <c r="S466" s="63">
        <v>9089755.1958217993</v>
      </c>
      <c r="T466" s="113"/>
      <c r="U466" s="55">
        <v>3210.50449477241</v>
      </c>
      <c r="V466" s="55">
        <v>3210.50449477241</v>
      </c>
      <c r="W466" s="59">
        <v>2023</v>
      </c>
      <c r="X466" s="6" t="e">
        <v>#REF!</v>
      </c>
      <c r="Z466" s="62">
        <f t="shared" si="143"/>
        <v>26371012.292399999</v>
      </c>
      <c r="AA466" s="55">
        <v>12305507</v>
      </c>
      <c r="AB466" s="55">
        <v>4288000.4889749996</v>
      </c>
      <c r="AC466" s="55">
        <v>4479954.2738714404</v>
      </c>
      <c r="AD466" s="55">
        <v>3127291</v>
      </c>
      <c r="AE466" s="55">
        <v>0</v>
      </c>
      <c r="AF466" s="55"/>
      <c r="AG466" s="55">
        <v>386031.94970676</v>
      </c>
      <c r="AH466" s="55">
        <v>0</v>
      </c>
      <c r="AI466" s="55">
        <v>0</v>
      </c>
      <c r="AJ466" s="55">
        <v>0</v>
      </c>
      <c r="AK466" s="55">
        <v>0</v>
      </c>
      <c r="AL466" s="55">
        <v>0</v>
      </c>
      <c r="AM466" s="55">
        <v>1122564.2276999999</v>
      </c>
      <c r="AN466" s="63">
        <v>134247.94029999999</v>
      </c>
      <c r="AO466" s="64">
        <v>527415.41184680001</v>
      </c>
      <c r="AP466" s="61">
        <f>+N466-'Приложение №2'!E466</f>
        <v>0</v>
      </c>
      <c r="AQ466" s="1">
        <v>1932968.35</v>
      </c>
      <c r="AR466" s="3">
        <f>+(K466*10+L466*20)*12*0.85</f>
        <v>416996.39999999997</v>
      </c>
      <c r="AS466" s="3">
        <f>+(K466*10+L466*20)*12*30</f>
        <v>14717520</v>
      </c>
      <c r="AT466" s="6">
        <f t="shared" si="138"/>
        <v>-5627764.8041782007</v>
      </c>
      <c r="AU466" s="6" t="e">
        <v>#REF!</v>
      </c>
      <c r="AV466" s="6" t="e">
        <v>#REF!</v>
      </c>
      <c r="AW466" s="62">
        <f t="shared" si="141"/>
        <v>13125184.475528559</v>
      </c>
      <c r="AX466" s="55">
        <v>12305507</v>
      </c>
      <c r="AY466" s="55"/>
      <c r="AZ466" s="55"/>
      <c r="BA466" s="55"/>
      <c r="BB466" s="55">
        <v>0</v>
      </c>
      <c r="BC466" s="55"/>
      <c r="BD466" s="55">
        <v>386031.94970676</v>
      </c>
      <c r="BE466" s="55">
        <v>0</v>
      </c>
      <c r="BF466" s="55">
        <v>0</v>
      </c>
      <c r="BG466" s="55">
        <v>0</v>
      </c>
      <c r="BH466" s="55">
        <v>0</v>
      </c>
      <c r="BI466" s="55">
        <v>0</v>
      </c>
      <c r="BJ466" s="55"/>
      <c r="BK466" s="63"/>
      <c r="BL466" s="111">
        <v>433645.52582179999</v>
      </c>
      <c r="BM466" s="62">
        <f t="shared" si="142"/>
        <v>13125184.475528559</v>
      </c>
      <c r="BN466" s="55">
        <v>12305507</v>
      </c>
      <c r="BO466" s="55"/>
      <c r="BP466" s="55"/>
      <c r="BQ466" s="55"/>
      <c r="BR466" s="55">
        <v>0</v>
      </c>
      <c r="BS466" s="55"/>
      <c r="BT466" s="55">
        <v>386031.94970676</v>
      </c>
      <c r="BU466" s="55">
        <v>0</v>
      </c>
      <c r="BV466" s="55">
        <v>0</v>
      </c>
      <c r="BW466" s="55">
        <v>0</v>
      </c>
      <c r="BX466" s="55">
        <v>0</v>
      </c>
      <c r="BY466" s="55">
        <v>0</v>
      </c>
      <c r="BZ466" s="55"/>
      <c r="CA466" s="63"/>
      <c r="CB466" s="64">
        <v>433645.52582179999</v>
      </c>
      <c r="CD466" s="6"/>
      <c r="CE466" s="3"/>
    </row>
    <row r="467" spans="1:83" x14ac:dyDescent="0.25">
      <c r="A467" s="105">
        <f t="shared" si="133"/>
        <v>446</v>
      </c>
      <c r="B467" s="107" t="s">
        <v>455</v>
      </c>
      <c r="C467" s="53" t="s">
        <v>224</v>
      </c>
      <c r="D467" s="53" t="s">
        <v>242</v>
      </c>
      <c r="E467" s="54">
        <v>1993</v>
      </c>
      <c r="F467" s="54">
        <v>2014</v>
      </c>
      <c r="G467" s="54" t="s">
        <v>64</v>
      </c>
      <c r="H467" s="54">
        <v>9</v>
      </c>
      <c r="I467" s="54">
        <v>1</v>
      </c>
      <c r="J467" s="55">
        <v>2553.4</v>
      </c>
      <c r="K467" s="55">
        <v>2128.8000000000002</v>
      </c>
      <c r="L467" s="55">
        <v>0</v>
      </c>
      <c r="M467" s="56">
        <v>78</v>
      </c>
      <c r="N467" s="112">
        <f t="shared" si="137"/>
        <v>9801757.47417932</v>
      </c>
      <c r="O467" s="55"/>
      <c r="P467" s="63">
        <v>882022.34999999905</v>
      </c>
      <c r="Q467" s="63"/>
      <c r="R467" s="63">
        <v>555476.24</v>
      </c>
      <c r="S467" s="63">
        <v>8364258.8841793202</v>
      </c>
      <c r="T467" s="63"/>
      <c r="U467" s="55">
        <v>10063.5427054129</v>
      </c>
      <c r="V467" s="55">
        <v>10063.5427054129</v>
      </c>
      <c r="W467" s="59">
        <v>2023</v>
      </c>
      <c r="X467" s="6" t="e">
        <v>#REF!</v>
      </c>
      <c r="Z467" s="62">
        <f t="shared" si="143"/>
        <v>44395710.679999955</v>
      </c>
      <c r="AA467" s="55">
        <v>4916492.8733411403</v>
      </c>
      <c r="AB467" s="55">
        <v>3374213.5460846401</v>
      </c>
      <c r="AC467" s="55">
        <v>2053944.7940944801</v>
      </c>
      <c r="AD467" s="55">
        <v>1853142.2046320401</v>
      </c>
      <c r="AE467" s="55">
        <v>0</v>
      </c>
      <c r="AF467" s="55"/>
      <c r="AG467" s="55">
        <v>236522.7739728</v>
      </c>
      <c r="AH467" s="55">
        <v>0</v>
      </c>
      <c r="AI467" s="55">
        <v>0</v>
      </c>
      <c r="AJ467" s="55">
        <v>0</v>
      </c>
      <c r="AK467" s="55">
        <v>20821763.508175101</v>
      </c>
      <c r="AL467" s="55">
        <v>5475673.8714455403</v>
      </c>
      <c r="AM467" s="55">
        <v>4373014.9959000004</v>
      </c>
      <c r="AN467" s="63">
        <v>443957.10680000001</v>
      </c>
      <c r="AO467" s="64">
        <v>846985.00555422006</v>
      </c>
      <c r="AP467" s="61">
        <f>+N467-'Приложение №2'!E467</f>
        <v>0</v>
      </c>
      <c r="AQ467" s="1">
        <f>1103126.79-79353.74-714183.7328</f>
        <v>309589.31720000005</v>
      </c>
      <c r="AR467" s="3">
        <f>+(K467*13.29+L467*22.52)*12*0.85</f>
        <v>288575.87039999996</v>
      </c>
      <c r="AS467" s="3">
        <f>+(K467*13.95+L467*23.65)*12*30-300950.5-2600695.91</f>
        <v>7789187.1899999995</v>
      </c>
      <c r="AT467" s="6">
        <f t="shared" si="138"/>
        <v>575071.69417932071</v>
      </c>
      <c r="AU467" s="6" t="e">
        <v>#REF!</v>
      </c>
      <c r="AV467" s="6" t="e">
        <v>#REF!</v>
      </c>
      <c r="AW467" s="62">
        <f t="shared" si="141"/>
        <v>21423269.71128292</v>
      </c>
      <c r="AX467" s="55"/>
      <c r="AY467" s="55"/>
      <c r="AZ467" s="55"/>
      <c r="BA467" s="55"/>
      <c r="BB467" s="55"/>
      <c r="BC467" s="55"/>
      <c r="BD467" s="55"/>
      <c r="BE467" s="55">
        <v>0</v>
      </c>
      <c r="BF467" s="55">
        <v>0</v>
      </c>
      <c r="BG467" s="55">
        <v>0</v>
      </c>
      <c r="BH467" s="55">
        <v>20848198.017103601</v>
      </c>
      <c r="BI467" s="55"/>
      <c r="BJ467" s="55"/>
      <c r="BK467" s="63"/>
      <c r="BL467" s="111">
        <v>575071.69417932001</v>
      </c>
      <c r="BM467" s="62">
        <f t="shared" si="142"/>
        <v>21423269.71128292</v>
      </c>
      <c r="BN467" s="55"/>
      <c r="BO467" s="55"/>
      <c r="BP467" s="55"/>
      <c r="BQ467" s="55"/>
      <c r="BR467" s="55"/>
      <c r="BS467" s="55"/>
      <c r="BT467" s="55"/>
      <c r="BU467" s="55">
        <v>0</v>
      </c>
      <c r="BV467" s="55">
        <v>0</v>
      </c>
      <c r="BW467" s="55">
        <v>0</v>
      </c>
      <c r="BX467" s="55">
        <v>20848198.017103601</v>
      </c>
      <c r="BY467" s="55"/>
      <c r="BZ467" s="55"/>
      <c r="CA467" s="63"/>
      <c r="CB467" s="64">
        <v>575071.69417932001</v>
      </c>
      <c r="CD467" s="3"/>
      <c r="CE467" s="6"/>
    </row>
    <row r="468" spans="1:83" x14ac:dyDescent="0.25">
      <c r="A468" s="105">
        <f t="shared" si="133"/>
        <v>447</v>
      </c>
      <c r="B468" s="107" t="s">
        <v>455</v>
      </c>
      <c r="C468" s="107" t="s">
        <v>244</v>
      </c>
      <c r="D468" s="107" t="s">
        <v>420</v>
      </c>
      <c r="E468" s="54">
        <v>1987</v>
      </c>
      <c r="F468" s="54">
        <v>1987</v>
      </c>
      <c r="G468" s="54" t="s">
        <v>64</v>
      </c>
      <c r="H468" s="54">
        <v>5</v>
      </c>
      <c r="I468" s="54">
        <v>4</v>
      </c>
      <c r="J468" s="55">
        <v>4891.3999999999996</v>
      </c>
      <c r="K468" s="55">
        <v>4293.1000000000004</v>
      </c>
      <c r="L468" s="55">
        <v>598.29999999999995</v>
      </c>
      <c r="M468" s="56">
        <v>199</v>
      </c>
      <c r="N468" s="108">
        <f t="shared" si="137"/>
        <v>18745283.327202201</v>
      </c>
      <c r="O468" s="63"/>
      <c r="P468" s="63">
        <v>7316300.2400000002</v>
      </c>
      <c r="Q468" s="63"/>
      <c r="R468" s="63"/>
      <c r="S468" s="63">
        <v>11428983.087202201</v>
      </c>
      <c r="T468" s="63"/>
      <c r="U468" s="55">
        <v>5890.98496186998</v>
      </c>
      <c r="V468" s="55">
        <v>5890.98496186998</v>
      </c>
      <c r="W468" s="59">
        <v>2023</v>
      </c>
      <c r="X468" s="6" t="e">
        <v>#REF!</v>
      </c>
      <c r="Z468" s="62">
        <f t="shared" si="143"/>
        <v>19345683.86999996</v>
      </c>
      <c r="AA468" s="55">
        <v>12256587.7965749</v>
      </c>
      <c r="AB468" s="55">
        <v>4494523.4791594204</v>
      </c>
      <c r="AC468" s="55">
        <v>0</v>
      </c>
      <c r="AD468" s="55">
        <v>0</v>
      </c>
      <c r="AE468" s="55">
        <v>0</v>
      </c>
      <c r="AF468" s="55"/>
      <c r="AG468" s="55">
        <v>404624.41455659998</v>
      </c>
      <c r="AH468" s="55">
        <v>0</v>
      </c>
      <c r="AI468" s="55">
        <v>0</v>
      </c>
      <c r="AJ468" s="55">
        <v>0</v>
      </c>
      <c r="AK468" s="55">
        <v>0</v>
      </c>
      <c r="AL468" s="55">
        <v>0</v>
      </c>
      <c r="AM468" s="55">
        <v>1621330.1477000001</v>
      </c>
      <c r="AN468" s="63">
        <v>193456.83869999999</v>
      </c>
      <c r="AO468" s="64">
        <v>375161.19330903998</v>
      </c>
      <c r="AP468" s="61">
        <f>+N468-'Приложение №2'!E438</f>
        <v>17240108.04092158</v>
      </c>
      <c r="AQ468" s="1">
        <v>2008581.69</v>
      </c>
      <c r="AR468" s="3">
        <f t="shared" ref="AR468:AR480" si="144">+(K468*10+L468*20)*12*0.85</f>
        <v>559949.4</v>
      </c>
      <c r="AS468" s="3">
        <f>+(K468*10+L468*20)*12*30</f>
        <v>19762920</v>
      </c>
      <c r="AT468" s="6">
        <f t="shared" si="138"/>
        <v>-8333936.9127977993</v>
      </c>
      <c r="AU468" s="6" t="e">
        <v>#REF!</v>
      </c>
      <c r="AV468" s="6" t="e">
        <v>#REF!</v>
      </c>
      <c r="AW468" s="62">
        <f t="shared" si="141"/>
        <v>28815163.8424908</v>
      </c>
      <c r="AX468" s="55">
        <v>13389086.339244001</v>
      </c>
      <c r="AY468" s="55">
        <v>4961562.7514880002</v>
      </c>
      <c r="AZ468" s="55">
        <v>0</v>
      </c>
      <c r="BA468" s="55">
        <v>0</v>
      </c>
      <c r="BB468" s="55">
        <v>0</v>
      </c>
      <c r="BC468" s="55"/>
      <c r="BD468" s="55">
        <v>404624.41455659998</v>
      </c>
      <c r="BE468" s="55">
        <v>0</v>
      </c>
      <c r="BF468" s="55">
        <v>9145505.7300000004</v>
      </c>
      <c r="BG468" s="55">
        <v>0</v>
      </c>
      <c r="BH468" s="55">
        <v>0</v>
      </c>
      <c r="BI468" s="55">
        <v>0</v>
      </c>
      <c r="BJ468" s="55"/>
      <c r="BK468" s="63"/>
      <c r="BL468" s="111">
        <v>914384.60720219999</v>
      </c>
      <c r="BM468" s="62">
        <f t="shared" si="142"/>
        <v>29154305.982490797</v>
      </c>
      <c r="BN468" s="55">
        <v>13389086.339244001</v>
      </c>
      <c r="BO468" s="55">
        <v>4961562.7514880002</v>
      </c>
      <c r="BP468" s="55">
        <v>0</v>
      </c>
      <c r="BQ468" s="55">
        <v>0</v>
      </c>
      <c r="BR468" s="55">
        <v>0</v>
      </c>
      <c r="BS468" s="55"/>
      <c r="BT468" s="55">
        <v>404624.41455659998</v>
      </c>
      <c r="BU468" s="55">
        <v>0</v>
      </c>
      <c r="BV468" s="55">
        <v>9484647.8699999992</v>
      </c>
      <c r="BW468" s="55">
        <v>0</v>
      </c>
      <c r="BX468" s="55">
        <v>0</v>
      </c>
      <c r="BY468" s="55">
        <v>0</v>
      </c>
      <c r="BZ468" s="55"/>
      <c r="CA468" s="63"/>
      <c r="CB468" s="64">
        <v>914384.60720219999</v>
      </c>
      <c r="CD468" s="3"/>
      <c r="CE468" s="6"/>
    </row>
    <row r="469" spans="1:83" x14ac:dyDescent="0.25">
      <c r="A469" s="105">
        <f t="shared" si="133"/>
        <v>448</v>
      </c>
      <c r="B469" s="107">
        <v>229</v>
      </c>
      <c r="C469" s="53" t="s">
        <v>244</v>
      </c>
      <c r="D469" s="53" t="s">
        <v>247</v>
      </c>
      <c r="E469" s="54">
        <v>1986</v>
      </c>
      <c r="F469" s="54">
        <v>1986</v>
      </c>
      <c r="G469" s="54" t="s">
        <v>64</v>
      </c>
      <c r="H469" s="54">
        <v>5</v>
      </c>
      <c r="I469" s="54">
        <v>4</v>
      </c>
      <c r="J469" s="55">
        <v>4691.8999999999996</v>
      </c>
      <c r="K469" s="55">
        <v>4321.1000000000004</v>
      </c>
      <c r="L469" s="55">
        <v>298</v>
      </c>
      <c r="M469" s="56">
        <v>195</v>
      </c>
      <c r="N469" s="112">
        <f t="shared" si="137"/>
        <v>15266485.815930519</v>
      </c>
      <c r="O469" s="55"/>
      <c r="P469" s="63">
        <v>7020762.4800000004</v>
      </c>
      <c r="Q469" s="63"/>
      <c r="R469" s="63">
        <v>1322918.1599999999</v>
      </c>
      <c r="S469" s="63">
        <v>6922805.1759305196</v>
      </c>
      <c r="T469" s="63"/>
      <c r="U469" s="55">
        <v>3693.1535671306101</v>
      </c>
      <c r="V469" s="55">
        <v>3693.1535671306101</v>
      </c>
      <c r="W469" s="59">
        <v>2023</v>
      </c>
      <c r="X469" s="6" t="e">
        <v>#REF!</v>
      </c>
      <c r="Z469" s="62">
        <f t="shared" si="143"/>
        <v>19513628.469999976</v>
      </c>
      <c r="AA469" s="55">
        <v>12362990.2296646</v>
      </c>
      <c r="AB469" s="55">
        <v>4533541.53030576</v>
      </c>
      <c r="AC469" s="55">
        <v>0</v>
      </c>
      <c r="AD469" s="55">
        <v>0</v>
      </c>
      <c r="AE469" s="55">
        <v>0</v>
      </c>
      <c r="AF469" s="55"/>
      <c r="AG469" s="55">
        <v>408137.05600247998</v>
      </c>
      <c r="AH469" s="55">
        <v>0</v>
      </c>
      <c r="AI469" s="55">
        <v>0</v>
      </c>
      <c r="AJ469" s="55">
        <v>0</v>
      </c>
      <c r="AK469" s="55">
        <v>0</v>
      </c>
      <c r="AL469" s="55">
        <v>0</v>
      </c>
      <c r="AM469" s="55">
        <v>1635405.3101999999</v>
      </c>
      <c r="AN469" s="63">
        <v>195136.28469999999</v>
      </c>
      <c r="AO469" s="64">
        <v>378418.05912713998</v>
      </c>
      <c r="AP469" s="61">
        <f>+N469-'Приложение №2'!E469</f>
        <v>0</v>
      </c>
      <c r="AQ469" s="6">
        <f>1886055.9-R171</f>
        <v>821373.96</v>
      </c>
      <c r="AR469" s="3">
        <f t="shared" si="144"/>
        <v>501544.2</v>
      </c>
      <c r="AS469" s="3">
        <f>+(K469*10+L469*20)*12*30-S171</f>
        <v>6767397.5140694994</v>
      </c>
      <c r="AT469" s="6">
        <f t="shared" si="138"/>
        <v>155407.66186102014</v>
      </c>
      <c r="AU469" s="6" t="e">
        <v>#REF!</v>
      </c>
      <c r="AV469" s="6" t="e">
        <v>#REF!</v>
      </c>
      <c r="AW469" s="62">
        <f t="shared" si="141"/>
        <v>17059045.641933002</v>
      </c>
      <c r="AX469" s="55">
        <v>10856660.689999999</v>
      </c>
      <c r="AY469" s="55">
        <v>4871890.16</v>
      </c>
      <c r="AZ469" s="55">
        <v>0</v>
      </c>
      <c r="BA469" s="55">
        <v>0</v>
      </c>
      <c r="BB469" s="55">
        <v>0</v>
      </c>
      <c r="BC469" s="55"/>
      <c r="BD469" s="55">
        <v>408137.05600247998</v>
      </c>
      <c r="BE469" s="55">
        <v>0</v>
      </c>
      <c r="BF469" s="55"/>
      <c r="BG469" s="55">
        <v>0</v>
      </c>
      <c r="BH469" s="55">
        <v>0</v>
      </c>
      <c r="BI469" s="55">
        <v>0</v>
      </c>
      <c r="BJ469" s="55"/>
      <c r="BK469" s="63"/>
      <c r="BL469" s="111">
        <v>922357.73593051999</v>
      </c>
      <c r="BM469" s="62">
        <f t="shared" si="142"/>
        <v>17059045.641933002</v>
      </c>
      <c r="BN469" s="55">
        <v>10856660.689999999</v>
      </c>
      <c r="BO469" s="55">
        <v>4871890.16</v>
      </c>
      <c r="BP469" s="55">
        <v>0</v>
      </c>
      <c r="BQ469" s="55">
        <v>0</v>
      </c>
      <c r="BR469" s="55">
        <v>0</v>
      </c>
      <c r="BS469" s="55"/>
      <c r="BT469" s="55">
        <v>408137.05600247998</v>
      </c>
      <c r="BU469" s="55">
        <v>0</v>
      </c>
      <c r="BV469" s="55"/>
      <c r="BW469" s="55">
        <v>0</v>
      </c>
      <c r="BX469" s="55">
        <v>0</v>
      </c>
      <c r="BY469" s="55">
        <v>0</v>
      </c>
      <c r="BZ469" s="55"/>
      <c r="CA469" s="63"/>
      <c r="CB469" s="64">
        <v>922357.73593051999</v>
      </c>
      <c r="CD469" s="6"/>
    </row>
    <row r="470" spans="1:83" x14ac:dyDescent="0.25">
      <c r="A470" s="105">
        <f t="shared" si="133"/>
        <v>449</v>
      </c>
      <c r="B470" s="107">
        <v>230</v>
      </c>
      <c r="C470" s="107" t="s">
        <v>250</v>
      </c>
      <c r="D470" s="53" t="s">
        <v>251</v>
      </c>
      <c r="E470" s="128">
        <v>1982</v>
      </c>
      <c r="F470" s="128">
        <v>1982</v>
      </c>
      <c r="G470" s="128" t="s">
        <v>64</v>
      </c>
      <c r="H470" s="128">
        <v>5</v>
      </c>
      <c r="I470" s="128">
        <v>1</v>
      </c>
      <c r="J470" s="63">
        <v>982.9</v>
      </c>
      <c r="K470" s="63">
        <v>982.9</v>
      </c>
      <c r="L470" s="63">
        <v>0</v>
      </c>
      <c r="M470" s="129">
        <v>23</v>
      </c>
      <c r="N470" s="108">
        <f t="shared" si="137"/>
        <v>455713.71976381302</v>
      </c>
      <c r="O470" s="63"/>
      <c r="P470" s="63">
        <v>195479.78</v>
      </c>
      <c r="Q470" s="63"/>
      <c r="R470" s="63">
        <v>77872.800000000003</v>
      </c>
      <c r="S470" s="63">
        <v>182361.139763813</v>
      </c>
      <c r="T470" s="63"/>
      <c r="U470" s="63">
        <v>1864.73306517836</v>
      </c>
      <c r="V470" s="63">
        <v>1864.73306517836</v>
      </c>
      <c r="W470" s="59">
        <v>2023</v>
      </c>
      <c r="X470" s="6" t="e">
        <v>#REF!</v>
      </c>
      <c r="Z470" s="62">
        <f t="shared" si="143"/>
        <v>25846647.639999997</v>
      </c>
      <c r="AA470" s="55">
        <v>3015626.05896552</v>
      </c>
      <c r="AB470" s="55">
        <v>1381996.98965328</v>
      </c>
      <c r="AC470" s="55">
        <v>1398423.8962755599</v>
      </c>
      <c r="AD470" s="55">
        <v>910108.47884879995</v>
      </c>
      <c r="AE470" s="55">
        <v>0</v>
      </c>
      <c r="AF470" s="55"/>
      <c r="AG470" s="55">
        <v>91642.682540640002</v>
      </c>
      <c r="AH470" s="55">
        <v>0</v>
      </c>
      <c r="AI470" s="55">
        <v>7209302.2726031998</v>
      </c>
      <c r="AJ470" s="55">
        <v>0</v>
      </c>
      <c r="AK470" s="55">
        <v>3664064.33732724</v>
      </c>
      <c r="AL470" s="55">
        <v>4963125.4813509602</v>
      </c>
      <c r="AM470" s="55">
        <v>2458924.8816</v>
      </c>
      <c r="AN470" s="63">
        <v>258466.47640000001</v>
      </c>
      <c r="AO470" s="64">
        <v>494966.08443480002</v>
      </c>
      <c r="AP470" s="61">
        <f>+N470-'Приложение №2'!E438</f>
        <v>-1049461.5665168068</v>
      </c>
      <c r="AQ470" s="6" t="e">
        <f>344430.27-#REF!</f>
        <v>#REF!</v>
      </c>
      <c r="AR470" s="3">
        <f t="shared" si="144"/>
        <v>100255.8</v>
      </c>
      <c r="AS470" s="3" t="e">
        <f>+(K470*10+L470*20)*12*30-#REF!</f>
        <v>#REF!</v>
      </c>
      <c r="AT470" s="6" t="e">
        <f t="shared" si="138"/>
        <v>#REF!</v>
      </c>
      <c r="AU470" s="6" t="e">
        <v>#REF!</v>
      </c>
      <c r="AV470" s="6" t="e">
        <v>#REF!</v>
      </c>
      <c r="AW470" s="62">
        <f t="shared" si="141"/>
        <v>1832846.1297638123</v>
      </c>
      <c r="AX470" s="55"/>
      <c r="AY470" s="55">
        <v>880894.3</v>
      </c>
      <c r="AZ470" s="55">
        <v>292852.17</v>
      </c>
      <c r="BA470" s="55">
        <v>569808.16</v>
      </c>
      <c r="BB470" s="55">
        <v>0</v>
      </c>
      <c r="BC470" s="55"/>
      <c r="BD470" s="55"/>
      <c r="BE470" s="55">
        <v>0</v>
      </c>
      <c r="BG470" s="55"/>
      <c r="BH470" s="55"/>
      <c r="BI470" s="55"/>
      <c r="BJ470" s="55"/>
      <c r="BK470" s="63"/>
      <c r="BL470" s="64">
        <v>89291.499763812506</v>
      </c>
      <c r="BM470" s="62">
        <f t="shared" si="142"/>
        <v>1832846.1297638123</v>
      </c>
      <c r="BN470" s="55"/>
      <c r="BO470" s="55">
        <v>880894.3</v>
      </c>
      <c r="BP470" s="55">
        <v>292852.17</v>
      </c>
      <c r="BQ470" s="55">
        <v>569808.16</v>
      </c>
      <c r="BR470" s="55">
        <v>0</v>
      </c>
      <c r="BS470" s="55"/>
      <c r="BT470" s="55"/>
      <c r="BU470" s="55">
        <v>0</v>
      </c>
      <c r="BW470" s="55"/>
      <c r="BX470" s="55"/>
      <c r="BY470" s="55"/>
      <c r="BZ470" s="55"/>
      <c r="CA470" s="63"/>
      <c r="CB470" s="64">
        <v>89291.499763812506</v>
      </c>
      <c r="CD470" s="6"/>
    </row>
    <row r="471" spans="1:83" x14ac:dyDescent="0.25">
      <c r="A471" s="105">
        <f t="shared" si="133"/>
        <v>450</v>
      </c>
      <c r="B471" s="107">
        <v>231</v>
      </c>
      <c r="C471" s="107" t="s">
        <v>250</v>
      </c>
      <c r="D471" s="107" t="s">
        <v>253</v>
      </c>
      <c r="E471" s="128">
        <v>1989</v>
      </c>
      <c r="F471" s="128">
        <v>2013</v>
      </c>
      <c r="G471" s="128" t="s">
        <v>64</v>
      </c>
      <c r="H471" s="128">
        <v>5</v>
      </c>
      <c r="I471" s="128">
        <v>3</v>
      </c>
      <c r="J471" s="63">
        <v>2867.1</v>
      </c>
      <c r="K471" s="63">
        <v>2862</v>
      </c>
      <c r="L471" s="63">
        <v>0</v>
      </c>
      <c r="M471" s="129">
        <v>82</v>
      </c>
      <c r="N471" s="108">
        <f t="shared" si="137"/>
        <v>4810437.1517803604</v>
      </c>
      <c r="O471" s="63"/>
      <c r="P471" s="63">
        <v>1559587.2043000001</v>
      </c>
      <c r="Q471" s="63"/>
      <c r="R471" s="63">
        <v>432993.52</v>
      </c>
      <c r="S471" s="63">
        <v>2817856.42748036</v>
      </c>
      <c r="T471" s="63"/>
      <c r="U471" s="63">
        <v>2696.6219328372999</v>
      </c>
      <c r="V471" s="63">
        <v>2696.6219328372999</v>
      </c>
      <c r="W471" s="59">
        <v>2023</v>
      </c>
      <c r="X471" s="6" t="e">
        <v>#REF!</v>
      </c>
      <c r="Z471" s="62">
        <f t="shared" si="143"/>
        <v>8541004.8900000006</v>
      </c>
      <c r="AA471" s="55">
        <v>0</v>
      </c>
      <c r="AB471" s="55">
        <v>0</v>
      </c>
      <c r="AC471" s="55">
        <v>4445034.5403198004</v>
      </c>
      <c r="AD471" s="55">
        <v>2892873.6360392398</v>
      </c>
      <c r="AE471" s="55">
        <v>0</v>
      </c>
      <c r="AF471" s="55"/>
      <c r="AG471" s="55">
        <v>0</v>
      </c>
      <c r="AH471" s="55">
        <v>0</v>
      </c>
      <c r="AI471" s="55">
        <v>0</v>
      </c>
      <c r="AJ471" s="55">
        <v>0</v>
      </c>
      <c r="AK471" s="55">
        <v>0</v>
      </c>
      <c r="AL471" s="55">
        <v>0</v>
      </c>
      <c r="AM471" s="55">
        <v>957221.47470000002</v>
      </c>
      <c r="AN471" s="63">
        <v>85410.048899999994</v>
      </c>
      <c r="AO471" s="64">
        <v>160465.19004096001</v>
      </c>
      <c r="AP471" s="61">
        <f>+N471-'Приложение №2'!E464</f>
        <v>-6376091.0129015995</v>
      </c>
      <c r="AQ471" s="1">
        <v>853930.16</v>
      </c>
      <c r="AR471" s="3">
        <f t="shared" si="144"/>
        <v>291924</v>
      </c>
      <c r="AS471" s="3">
        <f>+(K471*10+L471*20)*12*30</f>
        <v>10303200</v>
      </c>
      <c r="AT471" s="6">
        <f t="shared" si="138"/>
        <v>-7485343.5725196395</v>
      </c>
      <c r="AU471" s="6" t="e">
        <v>#REF!</v>
      </c>
      <c r="AV471" s="6" t="e">
        <v>#REF!</v>
      </c>
      <c r="AW471" s="62">
        <f t="shared" si="141"/>
        <v>7717731.9717803607</v>
      </c>
      <c r="AX471" s="55">
        <v>0</v>
      </c>
      <c r="AY471" s="55">
        <v>0</v>
      </c>
      <c r="AZ471" s="55">
        <v>1228652.79</v>
      </c>
      <c r="BA471" s="55">
        <v>1678642.03</v>
      </c>
      <c r="BB471" s="55">
        <v>0</v>
      </c>
      <c r="BC471" s="55"/>
      <c r="BD471" s="55"/>
      <c r="BE471" s="55">
        <v>0</v>
      </c>
      <c r="BF471" s="55">
        <v>3803871.23</v>
      </c>
      <c r="BG471" s="55">
        <v>0</v>
      </c>
      <c r="BH471" s="55">
        <v>0</v>
      </c>
      <c r="BI471" s="55"/>
      <c r="BJ471" s="55"/>
      <c r="BK471" s="63"/>
      <c r="BL471" s="64">
        <v>1006565.92178036</v>
      </c>
      <c r="BM471" s="62">
        <f t="shared" si="142"/>
        <v>7717731.9717803607</v>
      </c>
      <c r="BN471" s="55">
        <v>0</v>
      </c>
      <c r="BO471" s="55">
        <v>0</v>
      </c>
      <c r="BP471" s="55">
        <v>1228652.79</v>
      </c>
      <c r="BQ471" s="55">
        <v>1678642.03</v>
      </c>
      <c r="BR471" s="55">
        <v>0</v>
      </c>
      <c r="BS471" s="55"/>
      <c r="BT471" s="55"/>
      <c r="BU471" s="55">
        <v>0</v>
      </c>
      <c r="BV471" s="55">
        <v>3803871.23</v>
      </c>
      <c r="BW471" s="55">
        <v>0</v>
      </c>
      <c r="BX471" s="55">
        <v>0</v>
      </c>
      <c r="BY471" s="55"/>
      <c r="BZ471" s="55"/>
      <c r="CA471" s="63"/>
      <c r="CB471" s="64">
        <v>1006565.92178036</v>
      </c>
      <c r="CD471" s="3"/>
    </row>
    <row r="472" spans="1:83" x14ac:dyDescent="0.25">
      <c r="A472" s="105">
        <f t="shared" si="133"/>
        <v>451</v>
      </c>
      <c r="B472" s="107">
        <v>232</v>
      </c>
      <c r="C472" s="107" t="s">
        <v>250</v>
      </c>
      <c r="D472" s="107" t="s">
        <v>497</v>
      </c>
      <c r="E472" s="128">
        <v>1971</v>
      </c>
      <c r="F472" s="128">
        <v>2012</v>
      </c>
      <c r="G472" s="128" t="s">
        <v>64</v>
      </c>
      <c r="H472" s="128">
        <v>4</v>
      </c>
      <c r="I472" s="128">
        <v>4</v>
      </c>
      <c r="J472" s="63">
        <v>2748.3</v>
      </c>
      <c r="K472" s="63">
        <v>2738.3</v>
      </c>
      <c r="L472" s="63">
        <v>0</v>
      </c>
      <c r="M472" s="129">
        <v>105</v>
      </c>
      <c r="N472" s="108">
        <f t="shared" si="137"/>
        <v>4815984.0666748397</v>
      </c>
      <c r="O472" s="63"/>
      <c r="P472" s="63">
        <v>1034749.07</v>
      </c>
      <c r="Q472" s="63"/>
      <c r="R472" s="63">
        <v>464433.48</v>
      </c>
      <c r="S472" s="63">
        <v>3316801.5166748399</v>
      </c>
      <c r="T472" s="63">
        <v>0</v>
      </c>
      <c r="U472" s="63">
        <v>2250.2367697749801</v>
      </c>
      <c r="V472" s="63">
        <v>2250.2367697749801</v>
      </c>
      <c r="W472" s="59">
        <v>2023</v>
      </c>
      <c r="X472" s="6" t="e">
        <v>#REF!</v>
      </c>
      <c r="Z472" s="62">
        <f t="shared" si="143"/>
        <v>62662210.079999916</v>
      </c>
      <c r="AA472" s="55">
        <v>0</v>
      </c>
      <c r="AB472" s="55">
        <v>0</v>
      </c>
      <c r="AC472" s="55">
        <v>4217364.3079906804</v>
      </c>
      <c r="AD472" s="55">
        <v>2744703.5403370801</v>
      </c>
      <c r="AE472" s="55">
        <v>0</v>
      </c>
      <c r="AF472" s="55"/>
      <c r="AG472" s="55">
        <v>0</v>
      </c>
      <c r="AH472" s="55">
        <v>0</v>
      </c>
      <c r="AI472" s="55">
        <v>21741801.005597401</v>
      </c>
      <c r="AJ472" s="55">
        <v>0</v>
      </c>
      <c r="AK472" s="55">
        <v>11050078.7312399</v>
      </c>
      <c r="AL472" s="55">
        <v>14967785.0272427</v>
      </c>
      <c r="AM472" s="55">
        <v>6117201.9047999997</v>
      </c>
      <c r="AN472" s="63">
        <v>626622.10080000001</v>
      </c>
      <c r="AO472" s="64">
        <v>1196653.46199216</v>
      </c>
      <c r="AP472" s="61">
        <f>+N472-'Приложение №2'!E465</f>
        <v>-9165247.9845116008</v>
      </c>
      <c r="AQ472" s="1">
        <v>971459.84</v>
      </c>
      <c r="AR472" s="3">
        <f t="shared" si="144"/>
        <v>279306.59999999998</v>
      </c>
      <c r="AS472" s="3">
        <f>+(K472*10+L472*20)*12*30</f>
        <v>9857880</v>
      </c>
      <c r="AT472" s="6">
        <f t="shared" si="138"/>
        <v>-6541078.4833251601</v>
      </c>
      <c r="AU472" s="6" t="e">
        <v>#REF!</v>
      </c>
      <c r="AV472" s="6" t="e">
        <v>#REF!</v>
      </c>
      <c r="AW472" s="62">
        <f t="shared" si="141"/>
        <v>6161823.346674839</v>
      </c>
      <c r="AX472" s="55">
        <v>0</v>
      </c>
      <c r="AY472" s="55">
        <v>0</v>
      </c>
      <c r="AZ472" s="55">
        <v>1076716.6299999999</v>
      </c>
      <c r="BA472" s="55">
        <v>1632309.59</v>
      </c>
      <c r="BB472" s="55">
        <v>0</v>
      </c>
      <c r="BC472" s="55"/>
      <c r="BD472" s="55"/>
      <c r="BE472" s="55">
        <v>0</v>
      </c>
      <c r="BF472" s="55">
        <v>2825101.65</v>
      </c>
      <c r="BG472" s="55">
        <v>0</v>
      </c>
      <c r="BH472" s="55"/>
      <c r="BI472" s="55"/>
      <c r="BJ472" s="55"/>
      <c r="BK472" s="63"/>
      <c r="BL472" s="64">
        <v>627695.47667483997</v>
      </c>
      <c r="BM472" s="62">
        <f t="shared" si="142"/>
        <v>6161823.346674839</v>
      </c>
      <c r="BN472" s="55">
        <v>0</v>
      </c>
      <c r="BO472" s="55">
        <v>0</v>
      </c>
      <c r="BP472" s="55">
        <v>1076716.6299999999</v>
      </c>
      <c r="BQ472" s="55">
        <v>1632309.59</v>
      </c>
      <c r="BR472" s="55">
        <v>0</v>
      </c>
      <c r="BS472" s="55"/>
      <c r="BT472" s="55"/>
      <c r="BU472" s="55">
        <v>0</v>
      </c>
      <c r="BV472" s="55">
        <v>2825101.65</v>
      </c>
      <c r="BW472" s="55">
        <v>0</v>
      </c>
      <c r="BX472" s="55"/>
      <c r="BY472" s="55"/>
      <c r="BZ472" s="55"/>
      <c r="CA472" s="63"/>
      <c r="CB472" s="64">
        <v>627695.47667483997</v>
      </c>
      <c r="CD472" s="3"/>
    </row>
    <row r="473" spans="1:83" x14ac:dyDescent="0.25">
      <c r="A473" s="105">
        <f t="shared" si="133"/>
        <v>452</v>
      </c>
      <c r="B473" s="107">
        <f>+B472+1</f>
        <v>233</v>
      </c>
      <c r="C473" s="107" t="s">
        <v>250</v>
      </c>
      <c r="D473" s="107" t="s">
        <v>252</v>
      </c>
      <c r="E473" s="128">
        <v>1979</v>
      </c>
      <c r="F473" s="128">
        <v>2013</v>
      </c>
      <c r="G473" s="128" t="s">
        <v>64</v>
      </c>
      <c r="H473" s="128">
        <v>4</v>
      </c>
      <c r="I473" s="128">
        <v>2</v>
      </c>
      <c r="J473" s="63">
        <v>1304.3</v>
      </c>
      <c r="K473" s="63">
        <v>1304.3</v>
      </c>
      <c r="L473" s="63">
        <v>0</v>
      </c>
      <c r="M473" s="129">
        <v>47</v>
      </c>
      <c r="N473" s="108">
        <f t="shared" si="137"/>
        <v>4552805.2775841802</v>
      </c>
      <c r="O473" s="63"/>
      <c r="P473" s="63">
        <v>2179448.048</v>
      </c>
      <c r="Q473" s="63"/>
      <c r="R473" s="63"/>
      <c r="S473" s="63">
        <v>1980036.6075841801</v>
      </c>
      <c r="T473" s="63">
        <v>393320.62199999997</v>
      </c>
      <c r="U473" s="63">
        <v>6159.9478384599497</v>
      </c>
      <c r="V473" s="63">
        <v>6159.9478384599497</v>
      </c>
      <c r="W473" s="59">
        <v>2023</v>
      </c>
      <c r="X473" s="6" t="e">
        <v>#REF!</v>
      </c>
      <c r="Z473" s="62">
        <f t="shared" si="143"/>
        <v>28614187.700000003</v>
      </c>
      <c r="AA473" s="55">
        <v>0</v>
      </c>
      <c r="AB473" s="55">
        <v>0</v>
      </c>
      <c r="AC473" s="55">
        <v>1925825.0481519001</v>
      </c>
      <c r="AD473" s="55">
        <v>1253346.5063616</v>
      </c>
      <c r="AE473" s="55">
        <v>0</v>
      </c>
      <c r="AF473" s="55"/>
      <c r="AG473" s="55">
        <v>0</v>
      </c>
      <c r="AH473" s="55">
        <v>0</v>
      </c>
      <c r="AI473" s="55">
        <v>9928216.292715</v>
      </c>
      <c r="AJ473" s="55">
        <v>0</v>
      </c>
      <c r="AK473" s="55">
        <v>5045928.4281096598</v>
      </c>
      <c r="AL473" s="55">
        <v>6834917.0833343398</v>
      </c>
      <c r="AM473" s="55">
        <v>2793370.4105000002</v>
      </c>
      <c r="AN473" s="63">
        <v>286141.87699999998</v>
      </c>
      <c r="AO473" s="64">
        <v>546442.05382749997</v>
      </c>
      <c r="AP473" s="61">
        <f>+N473-'Приложение №2'!E446</f>
        <v>2329143.4381518201</v>
      </c>
      <c r="AQ473" s="6">
        <f>505122.22</f>
        <v>505122.22</v>
      </c>
      <c r="AR473" s="3">
        <f t="shared" si="144"/>
        <v>133038.6</v>
      </c>
      <c r="AS473" s="3">
        <f>+(K473*10+L473*20)*12*30</f>
        <v>4695480</v>
      </c>
      <c r="AT473" s="6">
        <f t="shared" si="138"/>
        <v>-2715443.3924158197</v>
      </c>
      <c r="AU473" s="6" t="e">
        <v>#REF!</v>
      </c>
      <c r="AV473" s="6" t="e">
        <v>#REF!</v>
      </c>
      <c r="AW473" s="62">
        <f t="shared" si="141"/>
        <v>8034419.9657033095</v>
      </c>
      <c r="AX473" s="55">
        <v>0</v>
      </c>
      <c r="AY473" s="55">
        <v>0</v>
      </c>
      <c r="AZ473" s="55">
        <v>2128126.3097030199</v>
      </c>
      <c r="BA473" s="55"/>
      <c r="BB473" s="55"/>
      <c r="BC473" s="55"/>
      <c r="BD473" s="55"/>
      <c r="BE473" s="55"/>
      <c r="BF473" s="55"/>
      <c r="BG473" s="55"/>
      <c r="BH473" s="55"/>
      <c r="BI473" s="55">
        <v>5673685.3984161103</v>
      </c>
      <c r="BJ473" s="55"/>
      <c r="BK473" s="63"/>
      <c r="BL473" s="64">
        <v>232608.25758418001</v>
      </c>
      <c r="BM473" s="62">
        <f t="shared" si="142"/>
        <v>8034419.9657033095</v>
      </c>
      <c r="BN473" s="55">
        <v>0</v>
      </c>
      <c r="BO473" s="55">
        <v>0</v>
      </c>
      <c r="BP473" s="55">
        <v>2128126.3097030199</v>
      </c>
      <c r="BQ473" s="55"/>
      <c r="BR473" s="55"/>
      <c r="BS473" s="55"/>
      <c r="BT473" s="55"/>
      <c r="BU473" s="55"/>
      <c r="BV473" s="55"/>
      <c r="BW473" s="55"/>
      <c r="BX473" s="55"/>
      <c r="BY473" s="55">
        <v>5673685.3984161103</v>
      </c>
      <c r="BZ473" s="55"/>
      <c r="CA473" s="63"/>
      <c r="CB473" s="64">
        <v>232608.25758418001</v>
      </c>
      <c r="CD473" s="3"/>
      <c r="CE473" s="3"/>
    </row>
    <row r="474" spans="1:83" x14ac:dyDescent="0.25">
      <c r="A474" s="105">
        <f t="shared" si="133"/>
        <v>453</v>
      </c>
      <c r="B474" s="107">
        <v>234</v>
      </c>
      <c r="C474" s="107" t="s">
        <v>250</v>
      </c>
      <c r="D474" s="107" t="s">
        <v>498</v>
      </c>
      <c r="E474" s="128">
        <v>1975</v>
      </c>
      <c r="F474" s="128">
        <v>2010</v>
      </c>
      <c r="G474" s="128" t="s">
        <v>64</v>
      </c>
      <c r="H474" s="128">
        <v>4</v>
      </c>
      <c r="I474" s="128">
        <v>2</v>
      </c>
      <c r="J474" s="63">
        <v>1415.4</v>
      </c>
      <c r="K474" s="63">
        <v>1415.4</v>
      </c>
      <c r="L474" s="63">
        <v>0</v>
      </c>
      <c r="M474" s="129">
        <v>39</v>
      </c>
      <c r="N474" s="108">
        <f t="shared" si="137"/>
        <v>3493718.5665682629</v>
      </c>
      <c r="O474" s="63"/>
      <c r="P474" s="63">
        <v>1410277.8660000099</v>
      </c>
      <c r="Q474" s="63"/>
      <c r="R474" s="63"/>
      <c r="S474" s="63">
        <v>1954173.44656826</v>
      </c>
      <c r="T474" s="63">
        <v>129267.253999993</v>
      </c>
      <c r="U474" s="63">
        <v>6431.0933063492503</v>
      </c>
      <c r="V474" s="63">
        <v>6431.0933063492503</v>
      </c>
      <c r="W474" s="59">
        <v>2023</v>
      </c>
      <c r="X474" s="6" t="e">
        <v>#REF!</v>
      </c>
      <c r="Z474" s="62">
        <f t="shared" si="143"/>
        <v>29462353.34</v>
      </c>
      <c r="AA474" s="55">
        <v>0</v>
      </c>
      <c r="AB474" s="55">
        <v>0</v>
      </c>
      <c r="AC474" s="55">
        <v>1982909.2719916201</v>
      </c>
      <c r="AD474" s="55">
        <v>1290497.4993876</v>
      </c>
      <c r="AE474" s="55">
        <v>0</v>
      </c>
      <c r="AF474" s="55"/>
      <c r="AG474" s="55">
        <v>0</v>
      </c>
      <c r="AH474" s="55">
        <v>0</v>
      </c>
      <c r="AI474" s="55">
        <v>10222502.889866401</v>
      </c>
      <c r="AJ474" s="55">
        <v>0</v>
      </c>
      <c r="AK474" s="55">
        <v>5195496.9927289803</v>
      </c>
      <c r="AL474" s="55">
        <v>7037513.8477249201</v>
      </c>
      <c r="AM474" s="55">
        <v>2876169.9234000002</v>
      </c>
      <c r="AN474" s="63">
        <v>294623.53340000001</v>
      </c>
      <c r="AO474" s="64">
        <v>562639.38150048</v>
      </c>
      <c r="AP474" s="61">
        <f>+N474-'Приложение №2'!E460</f>
        <v>-4619842.9543589372</v>
      </c>
      <c r="AQ474" s="1">
        <f>559628.74-472211.3</f>
        <v>87417.44</v>
      </c>
      <c r="AR474" s="3">
        <f t="shared" si="144"/>
        <v>144370.79999999999</v>
      </c>
      <c r="AS474" s="3">
        <f>+(K474*10+L474*20)*12*30-628714.2721</f>
        <v>4466725.7279000003</v>
      </c>
      <c r="AT474" s="6">
        <f t="shared" si="138"/>
        <v>-2512552.2813317403</v>
      </c>
      <c r="AU474" s="6" t="e">
        <v>#REF!</v>
      </c>
      <c r="AV474" s="6" t="e">
        <v>#REF!</v>
      </c>
      <c r="AW474" s="62">
        <f t="shared" si="141"/>
        <v>9102569.4658067245</v>
      </c>
      <c r="AX474" s="55">
        <v>0</v>
      </c>
      <c r="AY474" s="55">
        <v>0</v>
      </c>
      <c r="AZ474" s="55">
        <v>2428644.2700873101</v>
      </c>
      <c r="BA474" s="55">
        <v>0</v>
      </c>
      <c r="BB474" s="55">
        <v>0</v>
      </c>
      <c r="BC474" s="55"/>
      <c r="BD474" s="55">
        <v>0</v>
      </c>
      <c r="BE474" s="55">
        <v>0</v>
      </c>
      <c r="BF474" s="55">
        <v>0</v>
      </c>
      <c r="BG474" s="55">
        <v>0</v>
      </c>
      <c r="BH474" s="55">
        <v>0</v>
      </c>
      <c r="BI474" s="55">
        <v>6479130.2091511497</v>
      </c>
      <c r="BJ474" s="55"/>
      <c r="BK474" s="63"/>
      <c r="BL474" s="64">
        <v>194794.98656826399</v>
      </c>
      <c r="BM474" s="62">
        <f t="shared" si="142"/>
        <v>9102569.4658067245</v>
      </c>
      <c r="BN474" s="55">
        <v>0</v>
      </c>
      <c r="BO474" s="55">
        <v>0</v>
      </c>
      <c r="BP474" s="55">
        <v>2428644.2700873101</v>
      </c>
      <c r="BQ474" s="55">
        <v>0</v>
      </c>
      <c r="BR474" s="55">
        <v>0</v>
      </c>
      <c r="BS474" s="55"/>
      <c r="BT474" s="55">
        <v>0</v>
      </c>
      <c r="BU474" s="55">
        <v>0</v>
      </c>
      <c r="BV474" s="55">
        <v>0</v>
      </c>
      <c r="BW474" s="55">
        <v>0</v>
      </c>
      <c r="BX474" s="55">
        <v>0</v>
      </c>
      <c r="BY474" s="55">
        <v>6479130.2091511497</v>
      </c>
      <c r="BZ474" s="55"/>
      <c r="CA474" s="63"/>
      <c r="CB474" s="64">
        <v>194794.98656826399</v>
      </c>
      <c r="CD474" s="3"/>
      <c r="CE474" s="6"/>
    </row>
    <row r="475" spans="1:83" x14ac:dyDescent="0.25">
      <c r="A475" s="105">
        <f t="shared" si="133"/>
        <v>454</v>
      </c>
      <c r="B475" s="107">
        <v>235</v>
      </c>
      <c r="C475" s="107" t="s">
        <v>250</v>
      </c>
      <c r="D475" s="107" t="s">
        <v>499</v>
      </c>
      <c r="E475" s="128">
        <v>1979</v>
      </c>
      <c r="F475" s="128">
        <v>1979</v>
      </c>
      <c r="G475" s="128" t="s">
        <v>64</v>
      </c>
      <c r="H475" s="128">
        <v>4</v>
      </c>
      <c r="I475" s="128">
        <v>2</v>
      </c>
      <c r="J475" s="63">
        <v>1251.7</v>
      </c>
      <c r="K475" s="63">
        <v>1251.7</v>
      </c>
      <c r="L475" s="63">
        <v>0</v>
      </c>
      <c r="M475" s="129">
        <v>44</v>
      </c>
      <c r="N475" s="108">
        <f t="shared" si="137"/>
        <v>3316138.1383751398</v>
      </c>
      <c r="O475" s="63"/>
      <c r="P475" s="63">
        <v>868511.46149999998</v>
      </c>
      <c r="Q475" s="63"/>
      <c r="R475" s="63">
        <v>143042.91</v>
      </c>
      <c r="S475" s="63">
        <v>2304583.7668751399</v>
      </c>
      <c r="T475" s="63"/>
      <c r="U475" s="63">
        <v>7740.1983369618401</v>
      </c>
      <c r="V475" s="63">
        <v>7740.1983369618401</v>
      </c>
      <c r="W475" s="59">
        <v>2023</v>
      </c>
      <c r="X475" s="6" t="e">
        <v>#REF!</v>
      </c>
      <c r="Z475" s="62">
        <f t="shared" si="143"/>
        <v>10704920.850000001</v>
      </c>
      <c r="AA475" s="55">
        <v>4162366.3452462</v>
      </c>
      <c r="AB475" s="55">
        <v>1907523.5611068001</v>
      </c>
      <c r="AC475" s="55">
        <v>1930197.0630411</v>
      </c>
      <c r="AD475" s="55">
        <v>1256191.858278</v>
      </c>
      <c r="AE475" s="55">
        <v>0</v>
      </c>
      <c r="AF475" s="55"/>
      <c r="AG475" s="55">
        <v>126491.2857684</v>
      </c>
      <c r="AH475" s="55">
        <v>0</v>
      </c>
      <c r="AI475" s="55"/>
      <c r="AJ475" s="55">
        <v>0</v>
      </c>
      <c r="AK475" s="55"/>
      <c r="AL475" s="55"/>
      <c r="AM475" s="55">
        <v>1009919.349</v>
      </c>
      <c r="AN475" s="63">
        <v>107049.20849999999</v>
      </c>
      <c r="AO475" s="64">
        <v>205182.17905949999</v>
      </c>
      <c r="AP475" s="61">
        <f>+N475-'Приложение №2'!E447</f>
        <v>42853.11223922018</v>
      </c>
      <c r="AQ475" s="6">
        <f>438075.68</f>
        <v>438075.68</v>
      </c>
      <c r="AR475" s="3">
        <f t="shared" si="144"/>
        <v>127673.4</v>
      </c>
      <c r="AS475" s="3">
        <f>+(K475*10+L475*20)*12*30-1289981.92</f>
        <v>3216138.08</v>
      </c>
      <c r="AT475" s="6">
        <f t="shared" si="138"/>
        <v>-911554.31312486017</v>
      </c>
      <c r="AU475" s="6" t="e">
        <v>#REF!</v>
      </c>
      <c r="AV475" s="6" t="e">
        <v>#REF!</v>
      </c>
      <c r="AW475" s="62">
        <f t="shared" si="141"/>
        <v>9688406.258375138</v>
      </c>
      <c r="AX475" s="55">
        <v>1130532.8799999999</v>
      </c>
      <c r="AY475" s="55">
        <v>322661.12</v>
      </c>
      <c r="AZ475" s="55">
        <v>2032941.39</v>
      </c>
      <c r="BA475" s="55">
        <v>361992.49</v>
      </c>
      <c r="BB475" s="55">
        <v>0</v>
      </c>
      <c r="BC475" s="55"/>
      <c r="BD475" s="55"/>
      <c r="BE475" s="55">
        <v>0</v>
      </c>
      <c r="BF475" s="55">
        <v>0</v>
      </c>
      <c r="BG475" s="55">
        <v>0</v>
      </c>
      <c r="BH475" s="55">
        <v>0</v>
      </c>
      <c r="BI475" s="55">
        <v>5683076.9400000004</v>
      </c>
      <c r="BJ475" s="55"/>
      <c r="BK475" s="63"/>
      <c r="BL475" s="64">
        <v>157201.43837513801</v>
      </c>
      <c r="BM475" s="62">
        <f t="shared" si="142"/>
        <v>9688406.258375138</v>
      </c>
      <c r="BN475" s="55">
        <v>1130532.8799999999</v>
      </c>
      <c r="BO475" s="55">
        <v>322661.12</v>
      </c>
      <c r="BP475" s="55">
        <v>2032941.39</v>
      </c>
      <c r="BQ475" s="55">
        <v>361992.49</v>
      </c>
      <c r="BR475" s="55">
        <v>0</v>
      </c>
      <c r="BS475" s="55"/>
      <c r="BT475" s="55"/>
      <c r="BU475" s="55">
        <v>0</v>
      </c>
      <c r="BV475" s="55">
        <v>0</v>
      </c>
      <c r="BW475" s="55">
        <v>0</v>
      </c>
      <c r="BX475" s="55">
        <v>0</v>
      </c>
      <c r="BY475" s="55">
        <v>5683076.9400000004</v>
      </c>
      <c r="BZ475" s="55"/>
      <c r="CA475" s="63"/>
      <c r="CB475" s="64">
        <v>157201.43837513801</v>
      </c>
      <c r="CD475" s="6"/>
    </row>
    <row r="476" spans="1:83" x14ac:dyDescent="0.25">
      <c r="A476" s="105">
        <f t="shared" si="133"/>
        <v>455</v>
      </c>
      <c r="B476" s="107">
        <v>236</v>
      </c>
      <c r="C476" s="107" t="s">
        <v>250</v>
      </c>
      <c r="D476" s="107" t="s">
        <v>500</v>
      </c>
      <c r="E476" s="128">
        <v>1972</v>
      </c>
      <c r="F476" s="128">
        <v>1972</v>
      </c>
      <c r="G476" s="128" t="s">
        <v>64</v>
      </c>
      <c r="H476" s="128">
        <v>4</v>
      </c>
      <c r="I476" s="128">
        <v>2</v>
      </c>
      <c r="J476" s="63">
        <v>1471.5</v>
      </c>
      <c r="K476" s="63">
        <v>1257.9000000000001</v>
      </c>
      <c r="L476" s="63">
        <v>0</v>
      </c>
      <c r="M476" s="129">
        <v>37</v>
      </c>
      <c r="N476" s="108">
        <f t="shared" si="137"/>
        <v>5596377.5313446298</v>
      </c>
      <c r="O476" s="63"/>
      <c r="P476" s="63">
        <v>3266723.8713446301</v>
      </c>
      <c r="Q476" s="63"/>
      <c r="R476" s="63"/>
      <c r="S476" s="63">
        <v>2329653.66</v>
      </c>
      <c r="T476" s="63"/>
      <c r="U476" s="63">
        <v>5285.59583227029</v>
      </c>
      <c r="V476" s="63">
        <v>5285.59583227029</v>
      </c>
      <c r="W476" s="59">
        <v>2023</v>
      </c>
      <c r="X476" s="6" t="e">
        <v>#REF!</v>
      </c>
      <c r="Z476" s="62">
        <f t="shared" si="143"/>
        <v>16159497.98</v>
      </c>
      <c r="AA476" s="55">
        <v>0</v>
      </c>
      <c r="AB476" s="55">
        <v>0</v>
      </c>
      <c r="AC476" s="55">
        <v>0</v>
      </c>
      <c r="AD476" s="55">
        <v>0</v>
      </c>
      <c r="AE476" s="55">
        <v>0</v>
      </c>
      <c r="AF476" s="55"/>
      <c r="AG476" s="55">
        <v>0</v>
      </c>
      <c r="AH476" s="55">
        <v>0</v>
      </c>
      <c r="AI476" s="55">
        <v>0</v>
      </c>
      <c r="AJ476" s="55">
        <v>0</v>
      </c>
      <c r="AK476" s="55">
        <v>5977461.9471231</v>
      </c>
      <c r="AL476" s="55">
        <v>8096717.4565498196</v>
      </c>
      <c r="AM476" s="55">
        <v>1615949.798</v>
      </c>
      <c r="AN476" s="63">
        <v>161594.9798</v>
      </c>
      <c r="AO476" s="64">
        <v>307773.79852707998</v>
      </c>
      <c r="AP476" s="61">
        <f>+N476-'Приложение №2'!E476</f>
        <v>0</v>
      </c>
      <c r="AQ476" s="1">
        <f>337730.12</f>
        <v>337730.12</v>
      </c>
      <c r="AR476" s="3">
        <f t="shared" si="144"/>
        <v>128305.8</v>
      </c>
      <c r="AS476" s="3">
        <f>+(K476*10+L476*20)*12*30</f>
        <v>4528440</v>
      </c>
      <c r="AT476" s="6">
        <f t="shared" si="138"/>
        <v>-2198786.34</v>
      </c>
      <c r="AU476" s="6" t="e">
        <v>#REF!</v>
      </c>
      <c r="AV476" s="6" t="e">
        <v>#REF!</v>
      </c>
      <c r="AW476" s="62">
        <f t="shared" si="141"/>
        <v>6648750.9974128036</v>
      </c>
      <c r="AX476" s="55">
        <v>0</v>
      </c>
      <c r="AY476" s="55">
        <v>0</v>
      </c>
      <c r="AZ476" s="55">
        <v>0</v>
      </c>
      <c r="BA476" s="55">
        <v>0</v>
      </c>
      <c r="BB476" s="55">
        <v>0</v>
      </c>
      <c r="BC476" s="55"/>
      <c r="BD476" s="55"/>
      <c r="BE476" s="55">
        <v>0</v>
      </c>
      <c r="BF476" s="55">
        <v>0</v>
      </c>
      <c r="BG476" s="55">
        <v>0</v>
      </c>
      <c r="BH476" s="55">
        <v>6506467.7260681698</v>
      </c>
      <c r="BI476" s="55"/>
      <c r="BJ476" s="55"/>
      <c r="BK476" s="63"/>
      <c r="BL476" s="64">
        <v>142283.27134463401</v>
      </c>
      <c r="BM476" s="62">
        <f t="shared" si="142"/>
        <v>6648750.9974128036</v>
      </c>
      <c r="BN476" s="55">
        <v>0</v>
      </c>
      <c r="BO476" s="55">
        <v>0</v>
      </c>
      <c r="BP476" s="55">
        <v>0</v>
      </c>
      <c r="BQ476" s="55">
        <v>0</v>
      </c>
      <c r="BR476" s="55">
        <v>0</v>
      </c>
      <c r="BS476" s="55"/>
      <c r="BT476" s="55"/>
      <c r="BU476" s="55">
        <v>0</v>
      </c>
      <c r="BV476" s="55">
        <v>0</v>
      </c>
      <c r="BW476" s="55">
        <v>0</v>
      </c>
      <c r="BX476" s="55">
        <v>6506467.7260681698</v>
      </c>
      <c r="BY476" s="55"/>
      <c r="BZ476" s="55"/>
      <c r="CA476" s="63"/>
      <c r="CB476" s="64">
        <v>142283.27134463401</v>
      </c>
      <c r="CD476" s="3"/>
    </row>
    <row r="477" spans="1:83" x14ac:dyDescent="0.25">
      <c r="A477" s="105">
        <f t="shared" si="133"/>
        <v>456</v>
      </c>
      <c r="B477" s="107">
        <v>237</v>
      </c>
      <c r="C477" s="53" t="s">
        <v>421</v>
      </c>
      <c r="D477" s="53" t="s">
        <v>501</v>
      </c>
      <c r="E477" s="54">
        <v>1989</v>
      </c>
      <c r="F477" s="54">
        <v>2013</v>
      </c>
      <c r="G477" s="54" t="s">
        <v>64</v>
      </c>
      <c r="H477" s="54">
        <v>4</v>
      </c>
      <c r="I477" s="54">
        <v>2</v>
      </c>
      <c r="J477" s="55">
        <v>1529.1</v>
      </c>
      <c r="K477" s="55">
        <v>1348.1</v>
      </c>
      <c r="L477" s="55">
        <v>0</v>
      </c>
      <c r="M477" s="56">
        <v>46</v>
      </c>
      <c r="N477" s="112">
        <f t="shared" si="137"/>
        <v>7554537.6979660001</v>
      </c>
      <c r="O477" s="55"/>
      <c r="P477" s="63">
        <v>3305050.92</v>
      </c>
      <c r="Q477" s="63"/>
      <c r="R477" s="63">
        <v>444526.31</v>
      </c>
      <c r="S477" s="63">
        <v>3804960.4679660001</v>
      </c>
      <c r="T477" s="63"/>
      <c r="U477" s="55">
        <v>5519.6941713715596</v>
      </c>
      <c r="V477" s="55">
        <v>5519.6941713715596</v>
      </c>
      <c r="W477" s="59">
        <v>2023</v>
      </c>
      <c r="X477" s="6" t="e">
        <v>#REF!</v>
      </c>
      <c r="Z477" s="62">
        <f t="shared" si="143"/>
        <v>12006150.479999999</v>
      </c>
      <c r="AA477" s="55">
        <v>2778320.4092007</v>
      </c>
      <c r="AB477" s="55">
        <v>1283573.09968482</v>
      </c>
      <c r="AC477" s="55">
        <v>0</v>
      </c>
      <c r="AD477" s="55">
        <v>0</v>
      </c>
      <c r="AE477" s="55">
        <v>0</v>
      </c>
      <c r="AF477" s="55"/>
      <c r="AG477" s="55">
        <v>0</v>
      </c>
      <c r="AH477" s="55">
        <v>0</v>
      </c>
      <c r="AI477" s="55">
        <v>6528512.2887180001</v>
      </c>
      <c r="AJ477" s="55">
        <v>0</v>
      </c>
      <c r="AK477" s="55">
        <v>0</v>
      </c>
      <c r="AL477" s="55">
        <v>0</v>
      </c>
      <c r="AM477" s="55">
        <v>1064092.452</v>
      </c>
      <c r="AN477" s="63">
        <v>120061.5048</v>
      </c>
      <c r="AO477" s="64">
        <v>231590.72559648001</v>
      </c>
      <c r="AP477" s="61">
        <f>+N477-'Приложение №2'!E477</f>
        <v>1595946.5355399996</v>
      </c>
      <c r="AQ477" s="1">
        <v>579070.04</v>
      </c>
      <c r="AR477" s="3">
        <f t="shared" si="144"/>
        <v>137506.19999999998</v>
      </c>
      <c r="AS477" s="3">
        <f>+(K477*10+L477*20)*12*30</f>
        <v>4853160</v>
      </c>
      <c r="AT477" s="6">
        <f t="shared" ref="AT477:AT508" si="145">+S477-AS477</f>
        <v>-1048199.5320339999</v>
      </c>
      <c r="AU477" s="6" t="e">
        <v>#REF!</v>
      </c>
      <c r="AV477" s="6" t="e">
        <v>#REF!</v>
      </c>
      <c r="AW477" s="62">
        <f t="shared" si="141"/>
        <v>7441099.7124260003</v>
      </c>
      <c r="AX477" s="55"/>
      <c r="AY477" s="55">
        <v>539640.37</v>
      </c>
      <c r="AZ477" s="55">
        <v>0</v>
      </c>
      <c r="BA477" s="55">
        <v>0</v>
      </c>
      <c r="BB477" s="55">
        <v>0</v>
      </c>
      <c r="BC477" s="55"/>
      <c r="BD477" s="55"/>
      <c r="BE477" s="55">
        <v>0</v>
      </c>
      <c r="BF477" s="55">
        <v>6713480.5099999998</v>
      </c>
      <c r="BG477" s="55">
        <v>0</v>
      </c>
      <c r="BH477" s="55">
        <v>0</v>
      </c>
      <c r="BI477" s="55">
        <v>0</v>
      </c>
      <c r="BJ477" s="55"/>
      <c r="BK477" s="63"/>
      <c r="BL477" s="111">
        <v>187978.83242600001</v>
      </c>
      <c r="BM477" s="62">
        <f t="shared" si="142"/>
        <v>7441099.7124260003</v>
      </c>
      <c r="BN477" s="55"/>
      <c r="BO477" s="55">
        <v>539640.37</v>
      </c>
      <c r="BP477" s="55">
        <v>0</v>
      </c>
      <c r="BQ477" s="55">
        <v>0</v>
      </c>
      <c r="BR477" s="55">
        <v>0</v>
      </c>
      <c r="BS477" s="55"/>
      <c r="BT477" s="55"/>
      <c r="BU477" s="55">
        <v>0</v>
      </c>
      <c r="BV477" s="55">
        <v>6713480.5099999998</v>
      </c>
      <c r="BW477" s="55">
        <v>0</v>
      </c>
      <c r="BX477" s="55">
        <v>0</v>
      </c>
      <c r="BY477" s="55">
        <v>0</v>
      </c>
      <c r="BZ477" s="55"/>
      <c r="CA477" s="63"/>
      <c r="CB477" s="64">
        <v>187978.83242600001</v>
      </c>
      <c r="CD477" s="6"/>
    </row>
    <row r="478" spans="1:83" x14ac:dyDescent="0.25">
      <c r="A478" s="105">
        <f t="shared" si="133"/>
        <v>457</v>
      </c>
      <c r="B478" s="107">
        <v>238</v>
      </c>
      <c r="C478" s="53" t="s">
        <v>421</v>
      </c>
      <c r="D478" s="53" t="s">
        <v>502</v>
      </c>
      <c r="E478" s="54">
        <v>1988</v>
      </c>
      <c r="F478" s="54">
        <v>2013</v>
      </c>
      <c r="G478" s="54" t="s">
        <v>64</v>
      </c>
      <c r="H478" s="54">
        <v>3</v>
      </c>
      <c r="I478" s="54">
        <v>3</v>
      </c>
      <c r="J478" s="55">
        <v>1390.3</v>
      </c>
      <c r="K478" s="55">
        <v>1293.32</v>
      </c>
      <c r="L478" s="55">
        <v>0</v>
      </c>
      <c r="M478" s="56">
        <v>45</v>
      </c>
      <c r="N478" s="112">
        <f t="shared" si="137"/>
        <v>5958591.1624259995</v>
      </c>
      <c r="O478" s="55"/>
      <c r="P478" s="63">
        <v>814890.63999999897</v>
      </c>
      <c r="Q478" s="63"/>
      <c r="R478" s="63">
        <v>668271.06000000006</v>
      </c>
      <c r="S478" s="63">
        <v>4475429.4624260003</v>
      </c>
      <c r="T478" s="63"/>
      <c r="U478" s="55">
        <v>7207.4729053644896</v>
      </c>
      <c r="V478" s="55">
        <v>7207.4729053644896</v>
      </c>
      <c r="W478" s="59">
        <v>2023</v>
      </c>
      <c r="X478" s="6" t="e">
        <v>#REF!</v>
      </c>
      <c r="Z478" s="62">
        <f t="shared" si="143"/>
        <v>25655177.409999996</v>
      </c>
      <c r="AA478" s="55">
        <v>0</v>
      </c>
      <c r="AB478" s="55">
        <v>0</v>
      </c>
      <c r="AC478" s="55">
        <v>0</v>
      </c>
      <c r="AD478" s="55">
        <v>0</v>
      </c>
      <c r="AE478" s="55">
        <v>0</v>
      </c>
      <c r="AF478" s="55"/>
      <c r="AG478" s="55">
        <v>0</v>
      </c>
      <c r="AH478" s="55">
        <v>0</v>
      </c>
      <c r="AI478" s="55">
        <v>12294937.7469324</v>
      </c>
      <c r="AJ478" s="55">
        <v>0</v>
      </c>
      <c r="AK478" s="55">
        <v>10186152.058427099</v>
      </c>
      <c r="AL478" s="55">
        <v>0</v>
      </c>
      <c r="AM478" s="55">
        <v>2425919.9284000001</v>
      </c>
      <c r="AN478" s="63">
        <v>256551.77410000001</v>
      </c>
      <c r="AO478" s="64">
        <v>491615.90214050002</v>
      </c>
      <c r="AP478" s="61">
        <f>+N478-'Приложение №2'!E478</f>
        <v>-1595946.5355400005</v>
      </c>
      <c r="AQ478" s="1">
        <f>536959.76-224352.09</f>
        <v>312607.67000000004</v>
      </c>
      <c r="AR478" s="3">
        <f t="shared" si="144"/>
        <v>131918.63999999998</v>
      </c>
      <c r="AS478" s="3">
        <f>+(K478*10+L478*20)*12*30-1061869.95</f>
        <v>3594082.05</v>
      </c>
      <c r="AT478" s="6">
        <f t="shared" si="145"/>
        <v>881347.41242600046</v>
      </c>
      <c r="AU478" s="6" t="e">
        <v>#REF!</v>
      </c>
      <c r="AV478" s="6" t="e">
        <v>#REF!</v>
      </c>
      <c r="AW478" s="62">
        <f t="shared" si="141"/>
        <v>9321568.8579660002</v>
      </c>
      <c r="AX478" s="55">
        <v>0</v>
      </c>
      <c r="AY478" s="55">
        <v>0</v>
      </c>
      <c r="AZ478" s="55">
        <v>0</v>
      </c>
      <c r="BA478" s="55">
        <v>0</v>
      </c>
      <c r="BB478" s="55">
        <v>0</v>
      </c>
      <c r="BC478" s="55"/>
      <c r="BD478" s="55"/>
      <c r="BE478" s="55">
        <v>0</v>
      </c>
      <c r="BF478" s="55">
        <v>9023845.8800000008</v>
      </c>
      <c r="BG478" s="55">
        <v>0</v>
      </c>
      <c r="BH478" s="55"/>
      <c r="BI478" s="55">
        <v>0</v>
      </c>
      <c r="BJ478" s="55"/>
      <c r="BK478" s="63"/>
      <c r="BL478" s="111">
        <v>297722.97796599998</v>
      </c>
      <c r="BM478" s="62">
        <f t="shared" si="142"/>
        <v>9321568.8579660002</v>
      </c>
      <c r="BN478" s="55">
        <v>0</v>
      </c>
      <c r="BO478" s="55">
        <v>0</v>
      </c>
      <c r="BP478" s="55">
        <v>0</v>
      </c>
      <c r="BQ478" s="55">
        <v>0</v>
      </c>
      <c r="BR478" s="55">
        <v>0</v>
      </c>
      <c r="BS478" s="55"/>
      <c r="BT478" s="55"/>
      <c r="BU478" s="55">
        <v>0</v>
      </c>
      <c r="BV478" s="55">
        <v>9023845.8800000008</v>
      </c>
      <c r="BW478" s="55">
        <v>0</v>
      </c>
      <c r="BX478" s="55"/>
      <c r="BY478" s="55">
        <v>0</v>
      </c>
      <c r="BZ478" s="55"/>
      <c r="CA478" s="63"/>
      <c r="CB478" s="111">
        <v>297722.97796599998</v>
      </c>
      <c r="CD478" s="6"/>
    </row>
    <row r="479" spans="1:83" x14ac:dyDescent="0.25">
      <c r="A479" s="105">
        <f t="shared" si="133"/>
        <v>458</v>
      </c>
      <c r="B479" s="107">
        <v>239</v>
      </c>
      <c r="C479" s="107" t="s">
        <v>276</v>
      </c>
      <c r="D479" s="107" t="s">
        <v>503</v>
      </c>
      <c r="E479" s="128">
        <v>1978</v>
      </c>
      <c r="F479" s="128">
        <v>2011</v>
      </c>
      <c r="G479" s="128" t="s">
        <v>64</v>
      </c>
      <c r="H479" s="128">
        <v>4</v>
      </c>
      <c r="I479" s="128">
        <v>4</v>
      </c>
      <c r="J479" s="63">
        <v>3928.1</v>
      </c>
      <c r="K479" s="63">
        <v>3427.4</v>
      </c>
      <c r="L479" s="63">
        <v>412.7</v>
      </c>
      <c r="M479" s="129">
        <v>110</v>
      </c>
      <c r="N479" s="108">
        <f t="shared" si="137"/>
        <v>6566728.0555262603</v>
      </c>
      <c r="O479" s="63"/>
      <c r="P479" s="63">
        <v>357289.05</v>
      </c>
      <c r="Q479" s="63"/>
      <c r="R479" s="63">
        <v>2262800.4500000002</v>
      </c>
      <c r="S479" s="63">
        <v>3946638.5555262598</v>
      </c>
      <c r="T479" s="63">
        <v>0</v>
      </c>
      <c r="U479" s="63">
        <v>1616.9992983324</v>
      </c>
      <c r="V479" s="63">
        <v>1616.9992983324</v>
      </c>
      <c r="W479" s="59">
        <v>2023</v>
      </c>
      <c r="X479" s="6" t="e">
        <v>#REF!</v>
      </c>
      <c r="Z479" s="62">
        <f t="shared" si="143"/>
        <v>8909057.3100000005</v>
      </c>
      <c r="AA479" s="55">
        <v>0</v>
      </c>
      <c r="AB479" s="55">
        <v>0</v>
      </c>
      <c r="AC479" s="55">
        <v>0</v>
      </c>
      <c r="AD479" s="55">
        <v>0</v>
      </c>
      <c r="AE479" s="55">
        <v>0</v>
      </c>
      <c r="AF479" s="55"/>
      <c r="AG479" s="55">
        <v>0</v>
      </c>
      <c r="AH479" s="55">
        <v>0</v>
      </c>
      <c r="AI479" s="55">
        <v>0</v>
      </c>
      <c r="AJ479" s="55">
        <v>0</v>
      </c>
      <c r="AK479" s="55">
        <v>0</v>
      </c>
      <c r="AL479" s="55">
        <v>7759379.1003737403</v>
      </c>
      <c r="AM479" s="55">
        <v>890905.73100000003</v>
      </c>
      <c r="AN479" s="63">
        <v>89090.573099999994</v>
      </c>
      <c r="AO479" s="64">
        <v>169681.90552626</v>
      </c>
      <c r="AP479" s="61">
        <f>+N479-'Приложение №2'!E479</f>
        <v>0</v>
      </c>
      <c r="AQ479" s="1">
        <v>1829014.85</v>
      </c>
      <c r="AR479" s="3">
        <f t="shared" si="144"/>
        <v>433785.59999999998</v>
      </c>
      <c r="AS479" s="3">
        <f>+(K479*10+L479*20)*12*30</f>
        <v>15310080</v>
      </c>
      <c r="AT479" s="6">
        <f t="shared" si="145"/>
        <v>-11363441.44447374</v>
      </c>
      <c r="AU479" s="6" t="e">
        <v>#REF!</v>
      </c>
      <c r="AV479" s="6" t="e">
        <v>#REF!</v>
      </c>
      <c r="AW479" s="62">
        <f t="shared" si="141"/>
        <v>6209439.0055262595</v>
      </c>
      <c r="AX479" s="55">
        <v>0</v>
      </c>
      <c r="AY479" s="55">
        <v>0</v>
      </c>
      <c r="AZ479" s="55">
        <v>0</v>
      </c>
      <c r="BA479" s="55">
        <v>0</v>
      </c>
      <c r="BB479" s="55">
        <v>0</v>
      </c>
      <c r="BC479" s="55"/>
      <c r="BD479" s="55"/>
      <c r="BE479" s="55">
        <v>0</v>
      </c>
      <c r="BF479" s="55">
        <v>0</v>
      </c>
      <c r="BG479" s="55">
        <v>0</v>
      </c>
      <c r="BH479" s="55">
        <v>0</v>
      </c>
      <c r="BI479" s="55">
        <v>6039757.0999999996</v>
      </c>
      <c r="BJ479" s="55"/>
      <c r="BK479" s="63"/>
      <c r="BL479" s="64">
        <v>169681.90552626</v>
      </c>
      <c r="BM479" s="62">
        <f t="shared" si="142"/>
        <v>6209439.0055262595</v>
      </c>
      <c r="BN479" s="55">
        <v>0</v>
      </c>
      <c r="BO479" s="55">
        <v>0</v>
      </c>
      <c r="BP479" s="55">
        <v>0</v>
      </c>
      <c r="BQ479" s="55">
        <v>0</v>
      </c>
      <c r="BR479" s="55">
        <v>0</v>
      </c>
      <c r="BS479" s="55"/>
      <c r="BT479" s="55"/>
      <c r="BU479" s="55">
        <v>0</v>
      </c>
      <c r="BV479" s="55">
        <v>0</v>
      </c>
      <c r="BW479" s="55">
        <v>0</v>
      </c>
      <c r="BX479" s="55">
        <v>0</v>
      </c>
      <c r="BY479" s="55">
        <v>6039757.0999999996</v>
      </c>
      <c r="BZ479" s="55"/>
      <c r="CA479" s="63"/>
      <c r="CB479" s="111">
        <v>169681.90552626</v>
      </c>
      <c r="CD479" s="6"/>
    </row>
    <row r="480" spans="1:83" x14ac:dyDescent="0.25">
      <c r="A480" s="105">
        <f t="shared" si="133"/>
        <v>459</v>
      </c>
      <c r="B480" s="107">
        <v>240</v>
      </c>
      <c r="C480" s="53" t="s">
        <v>279</v>
      </c>
      <c r="D480" s="53" t="s">
        <v>504</v>
      </c>
      <c r="E480" s="54">
        <v>1970</v>
      </c>
      <c r="F480" s="54">
        <v>2010</v>
      </c>
      <c r="G480" s="54" t="s">
        <v>64</v>
      </c>
      <c r="H480" s="54">
        <v>5</v>
      </c>
      <c r="I480" s="54">
        <v>4</v>
      </c>
      <c r="J480" s="55">
        <v>3258</v>
      </c>
      <c r="K480" s="55">
        <v>3018.9</v>
      </c>
      <c r="L480" s="55">
        <v>0</v>
      </c>
      <c r="M480" s="56">
        <v>132</v>
      </c>
      <c r="N480" s="112">
        <f t="shared" si="137"/>
        <v>9518715.5500000007</v>
      </c>
      <c r="O480" s="63"/>
      <c r="P480" s="63">
        <v>919348.41</v>
      </c>
      <c r="Q480" s="63"/>
      <c r="R480" s="63">
        <v>652968.1</v>
      </c>
      <c r="S480" s="63">
        <v>7946399.04</v>
      </c>
      <c r="T480" s="63"/>
      <c r="U480" s="63">
        <v>4397.2265858425299</v>
      </c>
      <c r="V480" s="63">
        <v>4397.2265858425299</v>
      </c>
      <c r="W480" s="59">
        <v>2023</v>
      </c>
      <c r="X480" s="6" t="e">
        <v>#REF!</v>
      </c>
      <c r="Z480" s="62">
        <f t="shared" si="143"/>
        <v>13575281.439999999</v>
      </c>
      <c r="AA480" s="55">
        <v>0</v>
      </c>
      <c r="AB480" s="55">
        <v>0</v>
      </c>
      <c r="AC480" s="55">
        <v>0</v>
      </c>
      <c r="AD480" s="55">
        <v>0</v>
      </c>
      <c r="AE480" s="55">
        <v>0</v>
      </c>
      <c r="AF480" s="55"/>
      <c r="AG480" s="55">
        <v>0</v>
      </c>
      <c r="AH480" s="55">
        <v>0</v>
      </c>
      <c r="AI480" s="55">
        <v>0</v>
      </c>
      <c r="AJ480" s="55">
        <v>0</v>
      </c>
      <c r="AK480" s="55">
        <v>7231455.4199999999</v>
      </c>
      <c r="AL480" s="55">
        <v>5881945.1900000004</v>
      </c>
      <c r="AM480" s="55">
        <f>139621.27+118844.77</f>
        <v>258466.03999999998</v>
      </c>
      <c r="AN480" s="63">
        <f>5000+37028.06</f>
        <v>42028.06</v>
      </c>
      <c r="AO480" s="64">
        <f>88997.58+72389.15</f>
        <v>161386.72999999998</v>
      </c>
      <c r="AP480" s="61">
        <f>+N480-'Приложение №2'!E480</f>
        <v>0</v>
      </c>
      <c r="AQ480" s="1">
        <f>1025494.69-680454.39</f>
        <v>345040.29999999993</v>
      </c>
      <c r="AR480" s="3">
        <f t="shared" si="144"/>
        <v>307927.8</v>
      </c>
      <c r="AS480" s="3">
        <f>+(K480*10+L480*20)*12*30-16805.39</f>
        <v>10851234.609999999</v>
      </c>
      <c r="AT480" s="6">
        <f t="shared" si="145"/>
        <v>-2904835.5699999994</v>
      </c>
      <c r="AU480" s="6" t="e">
        <v>#REF!</v>
      </c>
      <c r="AV480" s="6" t="e">
        <v>#REF!</v>
      </c>
      <c r="AW480" s="62">
        <f t="shared" si="141"/>
        <v>13274787.34</v>
      </c>
      <c r="AX480" s="55">
        <v>0</v>
      </c>
      <c r="AY480" s="55">
        <v>0</v>
      </c>
      <c r="AZ480" s="55">
        <v>0</v>
      </c>
      <c r="BA480" s="55">
        <v>0</v>
      </c>
      <c r="BB480" s="55">
        <v>0</v>
      </c>
      <c r="BC480" s="55"/>
      <c r="BD480" s="55"/>
      <c r="BE480" s="55">
        <v>0</v>
      </c>
      <c r="BF480" s="55">
        <v>0</v>
      </c>
      <c r="BG480" s="55">
        <v>0</v>
      </c>
      <c r="BH480" s="55">
        <v>7231455.4199999999</v>
      </c>
      <c r="BI480" s="55">
        <v>5881945.1900000004</v>
      </c>
      <c r="BJ480" s="55"/>
      <c r="BK480" s="63"/>
      <c r="BL480" s="111">
        <v>161386.73000000001</v>
      </c>
      <c r="BM480" s="62">
        <f t="shared" si="142"/>
        <v>13274787.34</v>
      </c>
      <c r="BN480" s="55">
        <v>0</v>
      </c>
      <c r="BO480" s="55">
        <v>0</v>
      </c>
      <c r="BP480" s="55">
        <v>0</v>
      </c>
      <c r="BQ480" s="55">
        <v>0</v>
      </c>
      <c r="BR480" s="55">
        <v>0</v>
      </c>
      <c r="BS480" s="55"/>
      <c r="BT480" s="55"/>
      <c r="BU480" s="55">
        <v>0</v>
      </c>
      <c r="BV480" s="55">
        <v>0</v>
      </c>
      <c r="BW480" s="55">
        <v>0</v>
      </c>
      <c r="BX480" s="55">
        <v>7231455.4199999999</v>
      </c>
      <c r="BY480" s="55">
        <v>5881945.1900000004</v>
      </c>
      <c r="BZ480" s="55"/>
      <c r="CA480" s="63"/>
      <c r="CB480" s="111">
        <v>161386.73000000001</v>
      </c>
      <c r="CD480" s="6"/>
    </row>
    <row r="481" spans="1:149" s="82" customFormat="1" ht="17.25" customHeight="1" x14ac:dyDescent="0.25">
      <c r="D481" s="26">
        <v>2024</v>
      </c>
      <c r="E481" s="83"/>
      <c r="F481" s="83"/>
      <c r="G481" s="83"/>
      <c r="H481" s="83"/>
      <c r="I481" s="83"/>
      <c r="J481" s="85">
        <f>SUM(J482:J599, J601:J851)</f>
        <v>1386869.9700000004</v>
      </c>
      <c r="K481" s="85">
        <f>SUM(K482:K599, K601:K851)</f>
        <v>1142293.5799999998</v>
      </c>
      <c r="L481" s="85">
        <f>SUM(L482:L599, L601:L851)</f>
        <v>61958.67</v>
      </c>
      <c r="M481" s="85">
        <f>SUM(M482:M599, M601:M851)</f>
        <v>47673</v>
      </c>
      <c r="N481" s="85">
        <f>SUM(N482:N851)</f>
        <v>4216098424.8300037</v>
      </c>
      <c r="O481" s="85">
        <v>0</v>
      </c>
      <c r="P481" s="85">
        <f>SUM(P482:P851)</f>
        <v>444755620.00000024</v>
      </c>
      <c r="Q481" s="85">
        <f>SUM(Q482:Q851)</f>
        <v>15234272.41</v>
      </c>
      <c r="R481" s="85">
        <f>SUM(R482:R851)</f>
        <v>540082547.78000009</v>
      </c>
      <c r="S481" s="85">
        <f>SUM(S482:S851)</f>
        <v>1852932617.3800015</v>
      </c>
      <c r="T481" s="85">
        <f>SUM(T482:T851)</f>
        <v>1363093367.2700002</v>
      </c>
      <c r="U481" s="166"/>
      <c r="V481" s="166"/>
      <c r="W481" s="87"/>
      <c r="AP481" s="46">
        <f>+N481-'Приложение №2'!E481</f>
        <v>0.10374307632446289</v>
      </c>
      <c r="AR481" s="101"/>
      <c r="AS481" s="101"/>
      <c r="AT481" s="97">
        <f t="shared" si="145"/>
        <v>1852932617.3800015</v>
      </c>
      <c r="AW481" s="84">
        <f>SUM(AX481:BL481)</f>
        <v>4542316052.4500751</v>
      </c>
      <c r="AX481" s="84">
        <f t="shared" ref="AX481:BL481" si="146">SUM(AX482:AX851)</f>
        <v>896142638.7109189</v>
      </c>
      <c r="AY481" s="84">
        <f t="shared" si="146"/>
        <v>276378289.36904222</v>
      </c>
      <c r="AZ481" s="84">
        <f t="shared" si="146"/>
        <v>363302491.83316851</v>
      </c>
      <c r="BA481" s="84">
        <f t="shared" si="146"/>
        <v>215298694.44858444</v>
      </c>
      <c r="BB481" s="84">
        <f t="shared" si="146"/>
        <v>70481573.922156692</v>
      </c>
      <c r="BC481" s="84">
        <f t="shared" si="146"/>
        <v>0</v>
      </c>
      <c r="BD481" s="84">
        <f t="shared" si="146"/>
        <v>31591555.369413052</v>
      </c>
      <c r="BE481" s="84">
        <f t="shared" si="146"/>
        <v>241844379.97683287</v>
      </c>
      <c r="BF481" s="84">
        <f t="shared" si="146"/>
        <v>632349412.0486213</v>
      </c>
      <c r="BG481" s="84">
        <f t="shared" si="146"/>
        <v>154151803.29284248</v>
      </c>
      <c r="BH481" s="84">
        <f t="shared" si="146"/>
        <v>1094209619.386209</v>
      </c>
      <c r="BI481" s="84">
        <f t="shared" si="146"/>
        <v>353192844.76490247</v>
      </c>
      <c r="BJ481" s="84">
        <f t="shared" si="146"/>
        <v>77553603.121888623</v>
      </c>
      <c r="BK481" s="84">
        <f t="shared" si="146"/>
        <v>10092768.632984765</v>
      </c>
      <c r="BL481" s="167">
        <f t="shared" si="146"/>
        <v>125726377.57250994</v>
      </c>
      <c r="BM481" s="168">
        <f>SUM(BN481:CB481)</f>
        <v>4483970617.5571432</v>
      </c>
      <c r="BN481" s="84">
        <f t="shared" ref="BN481:CB481" si="147">SUM(BN482:BN851)</f>
        <v>892111855.04308462</v>
      </c>
      <c r="BO481" s="84">
        <f t="shared" si="147"/>
        <v>276378289.36904222</v>
      </c>
      <c r="BP481" s="84">
        <f t="shared" si="147"/>
        <v>361554092.24056089</v>
      </c>
      <c r="BQ481" s="84">
        <f t="shared" si="147"/>
        <v>213962873.40563381</v>
      </c>
      <c r="BR481" s="84">
        <f t="shared" si="147"/>
        <v>70508845.78761968</v>
      </c>
      <c r="BS481" s="84">
        <f t="shared" si="147"/>
        <v>0</v>
      </c>
      <c r="BT481" s="84">
        <f t="shared" si="147"/>
        <v>31591555.369413052</v>
      </c>
      <c r="BU481" s="84">
        <f t="shared" si="147"/>
        <v>241844379.97683287</v>
      </c>
      <c r="BV481" s="84">
        <f t="shared" si="147"/>
        <v>607224224.70674205</v>
      </c>
      <c r="BW481" s="84">
        <f t="shared" si="147"/>
        <v>153830392.77284247</v>
      </c>
      <c r="BX481" s="84">
        <f t="shared" si="147"/>
        <v>1070967891.1497743</v>
      </c>
      <c r="BY481" s="84">
        <f t="shared" si="147"/>
        <v>350623468.40821445</v>
      </c>
      <c r="BZ481" s="84">
        <f t="shared" si="147"/>
        <v>77553603.121888623</v>
      </c>
      <c r="CA481" s="84">
        <f t="shared" si="147"/>
        <v>10092768.632984765</v>
      </c>
      <c r="CB481" s="167">
        <f t="shared" si="147"/>
        <v>125726377.57250994</v>
      </c>
      <c r="CC481" s="1"/>
      <c r="CD481" s="169"/>
      <c r="CE481" s="169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</row>
    <row r="482" spans="1:149" s="69" customFormat="1" x14ac:dyDescent="0.25">
      <c r="A482" s="105">
        <v>460</v>
      </c>
      <c r="B482" s="107">
        <f t="shared" ref="B482:B513" si="148">+B481+1</f>
        <v>1</v>
      </c>
      <c r="C482" s="53" t="s">
        <v>299</v>
      </c>
      <c r="D482" s="53" t="s">
        <v>505</v>
      </c>
      <c r="E482" s="54" t="s">
        <v>506</v>
      </c>
      <c r="F482" s="54"/>
      <c r="G482" s="54" t="s">
        <v>64</v>
      </c>
      <c r="H482" s="54" t="s">
        <v>123</v>
      </c>
      <c r="I482" s="54" t="s">
        <v>145</v>
      </c>
      <c r="J482" s="55">
        <v>11221.5</v>
      </c>
      <c r="K482" s="55">
        <v>7503.7</v>
      </c>
      <c r="L482" s="55">
        <v>56.5</v>
      </c>
      <c r="M482" s="56">
        <v>285</v>
      </c>
      <c r="N482" s="112">
        <v>12813150</v>
      </c>
      <c r="O482" s="55">
        <v>0</v>
      </c>
      <c r="P482" s="63"/>
      <c r="Q482" s="63"/>
      <c r="R482" s="62">
        <v>6417623.3899999997</v>
      </c>
      <c r="S482" s="62">
        <v>6395526.6100000003</v>
      </c>
      <c r="T482" s="63"/>
      <c r="U482" s="63">
        <v>1707.5775950531099</v>
      </c>
      <c r="V482" s="63">
        <v>1172.2830200640001</v>
      </c>
      <c r="W482" s="59">
        <v>2024</v>
      </c>
      <c r="X482" s="69">
        <v>3494459.14</v>
      </c>
      <c r="Y482" s="69">
        <f>+(K482*12.08+L482*20.47)*12</f>
        <v>1101615.0119999999</v>
      </c>
      <c r="AA482" s="70" t="e">
        <v>#REF!</v>
      </c>
      <c r="AD482" s="70" t="e">
        <v>#REF!</v>
      </c>
      <c r="AP482" s="61">
        <f>+N482-'Приложение №2'!E482</f>
        <v>0</v>
      </c>
      <c r="AQ482" s="69">
        <v>5336292.42</v>
      </c>
      <c r="AR482" s="3">
        <f>+(K482*13.95+L482*23.65)*12*0.85</f>
        <v>1081330.9680000001</v>
      </c>
      <c r="AS482" s="3">
        <f>+(K482*13.95+L482*23.65)*12*30</f>
        <v>38164622.400000006</v>
      </c>
      <c r="AT482" s="6">
        <f t="shared" si="145"/>
        <v>-31769095.790000007</v>
      </c>
      <c r="AU482" s="6" t="e">
        <v>#REF!</v>
      </c>
      <c r="AV482" s="6" t="e">
        <v>#REF!</v>
      </c>
      <c r="AW482" s="110">
        <f t="shared" ref="AW482:AW545" si="149">SUBTOTAL(9, AX482:BL482)</f>
        <v>12813150</v>
      </c>
      <c r="AX482" s="122">
        <v>0</v>
      </c>
      <c r="AY482" s="122">
        <v>0</v>
      </c>
      <c r="AZ482" s="122">
        <v>0</v>
      </c>
      <c r="BA482" s="122">
        <v>0</v>
      </c>
      <c r="BB482" s="122"/>
      <c r="BC482" s="122">
        <v>0</v>
      </c>
      <c r="BD482" s="122"/>
      <c r="BE482" s="122">
        <v>12037390.646400001</v>
      </c>
      <c r="BF482" s="122">
        <v>0</v>
      </c>
      <c r="BG482" s="122">
        <v>0</v>
      </c>
      <c r="BH482" s="122">
        <v>0</v>
      </c>
      <c r="BI482" s="122">
        <v>0</v>
      </c>
      <c r="BJ482" s="122">
        <v>384394.5</v>
      </c>
      <c r="BK482" s="123">
        <v>128131.5</v>
      </c>
      <c r="BL482" s="125">
        <v>263233.35359999997</v>
      </c>
      <c r="BM482" s="110">
        <f t="shared" ref="BM482:BM545" si="150">SUBTOTAL(9, BN482:CB482)</f>
        <v>12813150</v>
      </c>
      <c r="BN482" s="122">
        <v>0</v>
      </c>
      <c r="BO482" s="122">
        <v>0</v>
      </c>
      <c r="BP482" s="122">
        <v>0</v>
      </c>
      <c r="BQ482" s="122">
        <v>0</v>
      </c>
      <c r="BR482" s="122"/>
      <c r="BS482" s="122">
        <v>0</v>
      </c>
      <c r="BT482" s="122"/>
      <c r="BU482" s="122">
        <v>12037390.646400001</v>
      </c>
      <c r="BV482" s="122">
        <v>0</v>
      </c>
      <c r="BW482" s="122">
        <v>0</v>
      </c>
      <c r="BX482" s="122">
        <v>0</v>
      </c>
      <c r="BY482" s="122">
        <v>0</v>
      </c>
      <c r="BZ482" s="122">
        <v>384394.5</v>
      </c>
      <c r="CA482" s="123">
        <v>128131.5</v>
      </c>
      <c r="CB482" s="125">
        <v>263233.35359999997</v>
      </c>
      <c r="CC482" s="1"/>
      <c r="CD482" s="75"/>
      <c r="CE482" s="6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</row>
    <row r="483" spans="1:149" x14ac:dyDescent="0.25">
      <c r="A483" s="105">
        <f t="shared" ref="A483:A546" si="151">+A482+1</f>
        <v>461</v>
      </c>
      <c r="B483" s="107">
        <f t="shared" si="148"/>
        <v>2</v>
      </c>
      <c r="C483" s="53" t="s">
        <v>299</v>
      </c>
      <c r="D483" s="53" t="s">
        <v>507</v>
      </c>
      <c r="E483" s="54">
        <v>1991</v>
      </c>
      <c r="F483" s="54">
        <v>2015</v>
      </c>
      <c r="G483" s="54" t="s">
        <v>64</v>
      </c>
      <c r="H483" s="54">
        <v>5</v>
      </c>
      <c r="I483" s="54">
        <v>5</v>
      </c>
      <c r="J483" s="55">
        <v>11474.2</v>
      </c>
      <c r="K483" s="55">
        <v>7084.2</v>
      </c>
      <c r="L483" s="55">
        <v>82.6</v>
      </c>
      <c r="M483" s="56">
        <v>178</v>
      </c>
      <c r="N483" s="112">
        <v>14720955.050000001</v>
      </c>
      <c r="O483" s="55"/>
      <c r="P483" s="63"/>
      <c r="Q483" s="63"/>
      <c r="R483" s="62">
        <v>5132775.3600000003</v>
      </c>
      <c r="S483" s="62">
        <v>9588179.6899999995</v>
      </c>
      <c r="T483" s="63"/>
      <c r="U483" s="63">
        <v>2077.9982291408901</v>
      </c>
      <c r="V483" s="63">
        <v>1176.2830200640001</v>
      </c>
      <c r="W483" s="59">
        <v>2024</v>
      </c>
      <c r="X483" s="6" t="e">
        <v>#REF!</v>
      </c>
      <c r="Z483" s="62">
        <f>SUM(AA483:AO483)</f>
        <v>12331740.678400008</v>
      </c>
      <c r="AA483" s="55">
        <v>0</v>
      </c>
      <c r="AB483" s="55">
        <v>0</v>
      </c>
      <c r="AC483" s="55">
        <v>0</v>
      </c>
      <c r="AD483" s="55">
        <v>0</v>
      </c>
      <c r="AE483" s="55">
        <v>0</v>
      </c>
      <c r="AF483" s="55"/>
      <c r="AG483" s="55">
        <v>0</v>
      </c>
      <c r="AH483" s="55">
        <v>0</v>
      </c>
      <c r="AI483" s="55">
        <v>0</v>
      </c>
      <c r="AJ483" s="55">
        <v>10740378.870815201</v>
      </c>
      <c r="AK483" s="55">
        <v>0</v>
      </c>
      <c r="AL483" s="55">
        <v>0</v>
      </c>
      <c r="AM483" s="55">
        <v>1233174.0678399999</v>
      </c>
      <c r="AN483" s="63">
        <v>123317.40678400001</v>
      </c>
      <c r="AO483" s="64">
        <v>234870.332960806</v>
      </c>
      <c r="AP483" s="61">
        <f>+N483-'Приложение №2'!E483</f>
        <v>-4.879828542470932E-3</v>
      </c>
      <c r="AQ483" s="1">
        <v>4356364.62</v>
      </c>
      <c r="AR483" s="3">
        <f>+(K483*10.5+L483*21)*12*0.85</f>
        <v>776410.73999999987</v>
      </c>
      <c r="AS483" s="3">
        <f>+(K483*10.5+L483*21)*12*30</f>
        <v>27402731.999999996</v>
      </c>
      <c r="AT483" s="6">
        <f t="shared" si="145"/>
        <v>-17814552.309999995</v>
      </c>
      <c r="AU483" s="6" t="e">
        <v>#REF!</v>
      </c>
      <c r="AV483" s="6" t="e">
        <v>#REF!</v>
      </c>
      <c r="AW483" s="110">
        <f t="shared" si="149"/>
        <v>14720955.054879829</v>
      </c>
      <c r="AX483" s="55">
        <v>0</v>
      </c>
      <c r="AY483" s="55">
        <v>0</v>
      </c>
      <c r="AZ483" s="55">
        <v>0</v>
      </c>
      <c r="BA483" s="55">
        <v>0</v>
      </c>
      <c r="BB483" s="55">
        <v>0</v>
      </c>
      <c r="BC483" s="55"/>
      <c r="BD483" s="55"/>
      <c r="BE483" s="55">
        <v>0</v>
      </c>
      <c r="BF483" s="55">
        <v>0</v>
      </c>
      <c r="BG483" s="55">
        <v>14405926.616705401</v>
      </c>
      <c r="BH483" s="55">
        <v>0</v>
      </c>
      <c r="BI483" s="55">
        <v>0</v>
      </c>
      <c r="BJ483" s="55"/>
      <c r="BK483" s="63"/>
      <c r="BL483" s="64">
        <v>315028.438174429</v>
      </c>
      <c r="BM483" s="110">
        <f t="shared" si="150"/>
        <v>14720955.054879829</v>
      </c>
      <c r="BN483" s="55">
        <v>0</v>
      </c>
      <c r="BO483" s="55">
        <v>0</v>
      </c>
      <c r="BP483" s="55">
        <v>0</v>
      </c>
      <c r="BQ483" s="55">
        <v>0</v>
      </c>
      <c r="BR483" s="55">
        <v>0</v>
      </c>
      <c r="BS483" s="55"/>
      <c r="BT483" s="55"/>
      <c r="BU483" s="55">
        <v>0</v>
      </c>
      <c r="BV483" s="55">
        <v>0</v>
      </c>
      <c r="BW483" s="55">
        <v>14405926.616705401</v>
      </c>
      <c r="BX483" s="55">
        <v>0</v>
      </c>
      <c r="BY483" s="55">
        <v>0</v>
      </c>
      <c r="BZ483" s="55"/>
      <c r="CA483" s="63"/>
      <c r="CB483" s="111">
        <v>315028.438174429</v>
      </c>
      <c r="CD483" s="75"/>
      <c r="CE483" s="6"/>
    </row>
    <row r="484" spans="1:149" x14ac:dyDescent="0.25">
      <c r="A484" s="105">
        <f t="shared" si="151"/>
        <v>462</v>
      </c>
      <c r="B484" s="107">
        <f t="shared" si="148"/>
        <v>3</v>
      </c>
      <c r="C484" s="53" t="s">
        <v>299</v>
      </c>
      <c r="D484" s="53" t="s">
        <v>508</v>
      </c>
      <c r="E484" s="54">
        <v>1993</v>
      </c>
      <c r="F484" s="54">
        <v>2013</v>
      </c>
      <c r="G484" s="54" t="s">
        <v>64</v>
      </c>
      <c r="H484" s="54">
        <v>9</v>
      </c>
      <c r="I484" s="54">
        <v>5</v>
      </c>
      <c r="J484" s="55">
        <v>19441.7</v>
      </c>
      <c r="K484" s="55">
        <v>13182.1</v>
      </c>
      <c r="L484" s="55">
        <v>0</v>
      </c>
      <c r="M484" s="56">
        <v>478</v>
      </c>
      <c r="N484" s="112">
        <v>40792489.780000001</v>
      </c>
      <c r="O484" s="55"/>
      <c r="P484" s="63"/>
      <c r="Q484" s="63"/>
      <c r="R484" s="62">
        <v>5380304.0700000003</v>
      </c>
      <c r="S484" s="62">
        <v>35412185.710000001</v>
      </c>
      <c r="T484" s="63"/>
      <c r="U484" s="63">
        <v>2885.28697522024</v>
      </c>
      <c r="V484" s="63">
        <v>1177.2830200640001</v>
      </c>
      <c r="W484" s="59">
        <v>2024</v>
      </c>
      <c r="X484" s="6" t="e">
        <v>#REF!</v>
      </c>
      <c r="Z484" s="62">
        <f>SUM(AA484:AO484)</f>
        <v>35897392.059609585</v>
      </c>
      <c r="AA484" s="55">
        <v>0</v>
      </c>
      <c r="AB484" s="55">
        <v>0</v>
      </c>
      <c r="AC484" s="55">
        <v>9324692.0449531004</v>
      </c>
      <c r="AD484" s="55">
        <v>0</v>
      </c>
      <c r="AE484" s="55">
        <v>0</v>
      </c>
      <c r="AF484" s="55"/>
      <c r="AG484" s="55">
        <v>0</v>
      </c>
      <c r="AH484" s="55">
        <v>0</v>
      </c>
      <c r="AI484" s="55">
        <v>0</v>
      </c>
      <c r="AJ484" s="55">
        <v>21940285.158932101</v>
      </c>
      <c r="AK484" s="55">
        <v>0</v>
      </c>
      <c r="AL484" s="55">
        <v>0</v>
      </c>
      <c r="AM484" s="55">
        <v>3589739.2059609601</v>
      </c>
      <c r="AN484" s="63">
        <v>358973.92059609602</v>
      </c>
      <c r="AO484" s="64">
        <v>683701.72916732496</v>
      </c>
      <c r="AP484" s="61">
        <f>+N484-'Приложение №2'!E484</f>
        <v>4.2763203382492065E-3</v>
      </c>
      <c r="AQ484" s="1">
        <f>10027782.74-4892369.7628-1630789.92</f>
        <v>3504623.0572000006</v>
      </c>
      <c r="AR484" s="3">
        <f>+(K484*13.95+L484*23.65)*12*0.85</f>
        <v>1875681.0090000001</v>
      </c>
      <c r="AS484" s="3">
        <f>+(K484*13.95+L484*23.65)*12*30-2885417.2772-5487600.1</f>
        <v>57827488.822800003</v>
      </c>
      <c r="AT484" s="6">
        <f t="shared" si="145"/>
        <v>-22415303.112800002</v>
      </c>
      <c r="AU484" s="6" t="e">
        <v>#REF!</v>
      </c>
      <c r="AV484" s="6" t="e">
        <v>#REF!</v>
      </c>
      <c r="AW484" s="110">
        <f t="shared" si="149"/>
        <v>38034141.436050788</v>
      </c>
      <c r="AX484" s="55">
        <v>0</v>
      </c>
      <c r="AY484" s="55">
        <v>0</v>
      </c>
      <c r="AZ484" s="55">
        <v>11100823.818992199</v>
      </c>
      <c r="BA484" s="55">
        <v>0</v>
      </c>
      <c r="BB484" s="55">
        <v>0</v>
      </c>
      <c r="BC484" s="55"/>
      <c r="BD484" s="55">
        <v>0</v>
      </c>
      <c r="BE484" s="55">
        <v>0</v>
      </c>
      <c r="BF484" s="55">
        <v>0</v>
      </c>
      <c r="BG484" s="55">
        <v>26119386.990327101</v>
      </c>
      <c r="BH484" s="55">
        <v>0</v>
      </c>
      <c r="BI484" s="55">
        <v>0</v>
      </c>
      <c r="BJ484" s="55"/>
      <c r="BK484" s="63"/>
      <c r="BL484" s="64">
        <v>813930.62673148594</v>
      </c>
      <c r="BM484" s="110">
        <f t="shared" si="150"/>
        <v>38034141.436050788</v>
      </c>
      <c r="BN484" s="55">
        <v>0</v>
      </c>
      <c r="BO484" s="55">
        <v>0</v>
      </c>
      <c r="BP484" s="55">
        <v>11100823.818992199</v>
      </c>
      <c r="BQ484" s="55">
        <v>0</v>
      </c>
      <c r="BR484" s="55">
        <v>0</v>
      </c>
      <c r="BS484" s="55"/>
      <c r="BT484" s="55">
        <v>0</v>
      </c>
      <c r="BU484" s="55">
        <v>0</v>
      </c>
      <c r="BV484" s="55">
        <v>0</v>
      </c>
      <c r="BW484" s="55">
        <v>26119386.990327101</v>
      </c>
      <c r="BX484" s="55">
        <v>0</v>
      </c>
      <c r="BY484" s="55">
        <v>0</v>
      </c>
      <c r="BZ484" s="55"/>
      <c r="CA484" s="63"/>
      <c r="CB484" s="64">
        <v>813930.62673148594</v>
      </c>
      <c r="CD484" s="75"/>
      <c r="CE484" s="6"/>
    </row>
    <row r="485" spans="1:149" x14ac:dyDescent="0.25">
      <c r="A485" s="105">
        <f t="shared" si="151"/>
        <v>463</v>
      </c>
      <c r="B485" s="107">
        <f t="shared" si="148"/>
        <v>4</v>
      </c>
      <c r="C485" s="53" t="s">
        <v>299</v>
      </c>
      <c r="D485" s="53" t="s">
        <v>302</v>
      </c>
      <c r="E485" s="54">
        <v>1997</v>
      </c>
      <c r="F485" s="54">
        <v>2013</v>
      </c>
      <c r="G485" s="54" t="s">
        <v>64</v>
      </c>
      <c r="H485" s="54">
        <v>3</v>
      </c>
      <c r="I485" s="54">
        <v>3</v>
      </c>
      <c r="J485" s="55">
        <v>2554.6999999999998</v>
      </c>
      <c r="K485" s="55">
        <v>1158.4000000000001</v>
      </c>
      <c r="L485" s="55">
        <v>157.9</v>
      </c>
      <c r="M485" s="56">
        <v>40</v>
      </c>
      <c r="N485" s="112">
        <v>20142166.739999998</v>
      </c>
      <c r="O485" s="55"/>
      <c r="P485" s="55"/>
      <c r="Q485" s="55"/>
      <c r="R485" s="55"/>
      <c r="S485" s="57">
        <v>5227882.13</v>
      </c>
      <c r="T485" s="57">
        <v>14914284.609999999</v>
      </c>
      <c r="U485" s="55">
        <v>7543.5478082503996</v>
      </c>
      <c r="V485" s="55">
        <v>7543.5478082503996</v>
      </c>
      <c r="W485" s="59">
        <v>2024</v>
      </c>
      <c r="X485" s="6" t="e">
        <v>#REF!</v>
      </c>
      <c r="Z485" s="57">
        <f>SUM(AA485:AO485)</f>
        <v>50522516.669999957</v>
      </c>
      <c r="AA485" s="55">
        <v>5373102.4124122802</v>
      </c>
      <c r="AB485" s="55">
        <v>2799379.0984185599</v>
      </c>
      <c r="AC485" s="55">
        <v>1158345.46972326</v>
      </c>
      <c r="AD485" s="55">
        <v>601928.63075688004</v>
      </c>
      <c r="AE485" s="55">
        <v>0</v>
      </c>
      <c r="AF485" s="55"/>
      <c r="AG485" s="55">
        <v>439165.68767148</v>
      </c>
      <c r="AH485" s="55">
        <v>0</v>
      </c>
      <c r="AI485" s="55">
        <v>12048310.589364</v>
      </c>
      <c r="AJ485" s="55">
        <v>4856893.85457318</v>
      </c>
      <c r="AK485" s="55">
        <v>13999412.949791601</v>
      </c>
      <c r="AL485" s="55">
        <v>2997543.6040317598</v>
      </c>
      <c r="AM485" s="55">
        <v>4775024.6968999999</v>
      </c>
      <c r="AN485" s="55">
        <v>505225.1667</v>
      </c>
      <c r="AO485" s="60">
        <v>968184.50965696003</v>
      </c>
      <c r="AP485" s="61">
        <f>+N485-'Приложение №2'!E485</f>
        <v>0</v>
      </c>
      <c r="AQ485" s="6">
        <f>739157.71-R210</f>
        <v>-698103.71</v>
      </c>
      <c r="AR485" s="3">
        <f>+(K485*10+L485*20)*12*0.85</f>
        <v>150368.4</v>
      </c>
      <c r="AS485" s="3">
        <f>+(K485*10+L485*20)*12*30-S210</f>
        <v>5307120</v>
      </c>
      <c r="AT485" s="6">
        <f t="shared" si="145"/>
        <v>-79237.870000000112</v>
      </c>
      <c r="AU485" s="6" t="e">
        <v>#REF!</v>
      </c>
      <c r="AV485" s="6" t="e">
        <v>#REF!</v>
      </c>
      <c r="AW485" s="62">
        <f t="shared" si="149"/>
        <v>9929571.9799999986</v>
      </c>
      <c r="AX485" s="55">
        <v>2320624.2799999998</v>
      </c>
      <c r="AY485" s="55">
        <v>1208886.8700000001</v>
      </c>
      <c r="AZ485" s="55"/>
      <c r="BA485" s="55">
        <v>480187.06</v>
      </c>
      <c r="BB485" s="55">
        <v>0</v>
      </c>
      <c r="BC485" s="55"/>
      <c r="BD485" s="55"/>
      <c r="BE485" s="55">
        <v>0</v>
      </c>
      <c r="BF485" s="55"/>
      <c r="BG485" s="55">
        <v>4924704.8499999996</v>
      </c>
      <c r="BH485" s="55"/>
      <c r="BI485" s="55"/>
      <c r="BJ485" s="55"/>
      <c r="BK485" s="63"/>
      <c r="BL485" s="63">
        <v>995168.92</v>
      </c>
      <c r="BM485" s="62">
        <f t="shared" si="150"/>
        <v>9929571.9799999986</v>
      </c>
      <c r="BN485" s="55">
        <v>2320624.2799999998</v>
      </c>
      <c r="BO485" s="55">
        <v>1208886.8700000001</v>
      </c>
      <c r="BP485" s="55"/>
      <c r="BQ485" s="55">
        <v>480187.06</v>
      </c>
      <c r="BR485" s="55">
        <v>0</v>
      </c>
      <c r="BS485" s="55"/>
      <c r="BT485" s="55"/>
      <c r="BU485" s="55">
        <v>0</v>
      </c>
      <c r="BV485" s="55"/>
      <c r="BW485" s="55">
        <v>4924704.8499999996</v>
      </c>
      <c r="BX485" s="55"/>
      <c r="BY485" s="55"/>
      <c r="BZ485" s="55"/>
      <c r="CA485" s="63"/>
      <c r="CB485" s="63">
        <v>995168.92</v>
      </c>
      <c r="CD485" s="6"/>
      <c r="CE485" s="6"/>
    </row>
    <row r="486" spans="1:149" s="69" customFormat="1" x14ac:dyDescent="0.25">
      <c r="A486" s="105">
        <f t="shared" si="151"/>
        <v>464</v>
      </c>
      <c r="B486" s="107">
        <f t="shared" si="148"/>
        <v>5</v>
      </c>
      <c r="C486" s="53" t="s">
        <v>299</v>
      </c>
      <c r="D486" s="53" t="s">
        <v>509</v>
      </c>
      <c r="E486" s="54" t="s">
        <v>510</v>
      </c>
      <c r="F486" s="54"/>
      <c r="G486" s="54" t="s">
        <v>64</v>
      </c>
      <c r="H486" s="54" t="s">
        <v>184</v>
      </c>
      <c r="I486" s="54" t="s">
        <v>184</v>
      </c>
      <c r="J486" s="55">
        <v>4119.1000000000004</v>
      </c>
      <c r="K486" s="55">
        <v>2443.1</v>
      </c>
      <c r="L486" s="55">
        <v>0</v>
      </c>
      <c r="M486" s="56">
        <v>95</v>
      </c>
      <c r="N486" s="112">
        <v>25697350.120000001</v>
      </c>
      <c r="O486" s="55">
        <v>0</v>
      </c>
      <c r="P486" s="62">
        <v>3678482.75</v>
      </c>
      <c r="Q486" s="62">
        <v>2709187.47</v>
      </c>
      <c r="R486" s="62">
        <v>1605165.91</v>
      </c>
      <c r="S486" s="62">
        <v>9234918</v>
      </c>
      <c r="T486" s="62">
        <v>8469596</v>
      </c>
      <c r="U486" s="63">
        <v>10825.8723727263</v>
      </c>
      <c r="V486" s="63">
        <v>1178.2830200640001</v>
      </c>
      <c r="W486" s="59">
        <v>2024</v>
      </c>
      <c r="X486" s="69">
        <v>889128.05</v>
      </c>
      <c r="Y486" s="69">
        <f>+(K486*9.1+L486*18.19)*12</f>
        <v>266786.52</v>
      </c>
      <c r="AA486" s="70" t="e">
        <v>#REF!</v>
      </c>
      <c r="AD486" s="70" t="e">
        <v>#REF!</v>
      </c>
      <c r="AP486" s="61">
        <f>+N486-'Приложение №2'!E486</f>
        <v>-3.2514370977878571E-3</v>
      </c>
      <c r="AQ486" s="69">
        <v>1343509.9</v>
      </c>
      <c r="AR486" s="3">
        <f>+(K486*10.5+L486*21)*12*0.85</f>
        <v>261656.00999999998</v>
      </c>
      <c r="AS486" s="3">
        <f>+(K486*10.5+L486*21)*12*30</f>
        <v>9234918</v>
      </c>
      <c r="AT486" s="6">
        <f t="shared" si="145"/>
        <v>0</v>
      </c>
      <c r="AU486" s="6" t="e">
        <v>#REF!</v>
      </c>
      <c r="AV486" s="6" t="e">
        <v>#REF!</v>
      </c>
      <c r="AW486" s="110">
        <f t="shared" si="149"/>
        <v>26448688.793807607</v>
      </c>
      <c r="AX486" s="55">
        <v>7353309.2599999998</v>
      </c>
      <c r="AY486" s="55">
        <v>0</v>
      </c>
      <c r="AZ486" s="55">
        <v>1849726.7764977401</v>
      </c>
      <c r="BA486" s="55">
        <v>1953691.0272434</v>
      </c>
      <c r="BB486" s="55">
        <v>0</v>
      </c>
      <c r="BC486" s="55"/>
      <c r="BD486" s="55">
        <v>200996.47018181099</v>
      </c>
      <c r="BE486" s="55">
        <v>0</v>
      </c>
      <c r="BF486" s="55"/>
      <c r="BG486" s="55"/>
      <c r="BH486" s="55">
        <v>12058761.4052178</v>
      </c>
      <c r="BI486" s="55">
        <v>0</v>
      </c>
      <c r="BJ486" s="55">
        <v>2335704.4224699801</v>
      </c>
      <c r="BK486" s="63">
        <v>239364.94158844699</v>
      </c>
      <c r="BL486" s="64">
        <v>457134.49060842698</v>
      </c>
      <c r="BM486" s="110">
        <f t="shared" si="150"/>
        <v>26448688.793807607</v>
      </c>
      <c r="BN486" s="55">
        <v>7353309.2599999998</v>
      </c>
      <c r="BO486" s="55">
        <v>0</v>
      </c>
      <c r="BP486" s="55">
        <v>1849726.7764977401</v>
      </c>
      <c r="BQ486" s="55">
        <v>1953691.0272434</v>
      </c>
      <c r="BR486" s="55">
        <v>0</v>
      </c>
      <c r="BS486" s="55"/>
      <c r="BT486" s="55">
        <v>200996.47018181099</v>
      </c>
      <c r="BU486" s="55">
        <v>0</v>
      </c>
      <c r="BV486" s="55"/>
      <c r="BW486" s="55"/>
      <c r="BX486" s="55">
        <v>12058761.4052178</v>
      </c>
      <c r="BY486" s="55">
        <v>0</v>
      </c>
      <c r="BZ486" s="55">
        <v>2335704.4224699801</v>
      </c>
      <c r="CA486" s="63">
        <v>239364.94158844699</v>
      </c>
      <c r="CB486" s="64">
        <v>457134.49060842698</v>
      </c>
      <c r="CD486" s="75"/>
      <c r="CE486" s="6"/>
    </row>
    <row r="487" spans="1:149" s="69" customFormat="1" x14ac:dyDescent="0.25">
      <c r="A487" s="105">
        <f t="shared" si="151"/>
        <v>465</v>
      </c>
      <c r="B487" s="107">
        <f t="shared" si="148"/>
        <v>6</v>
      </c>
      <c r="C487" s="53" t="s">
        <v>299</v>
      </c>
      <c r="D487" s="53" t="s">
        <v>511</v>
      </c>
      <c r="E487" s="54" t="s">
        <v>512</v>
      </c>
      <c r="F487" s="54"/>
      <c r="G487" s="54" t="s">
        <v>64</v>
      </c>
      <c r="H487" s="54" t="s">
        <v>184</v>
      </c>
      <c r="I487" s="54" t="s">
        <v>184</v>
      </c>
      <c r="J487" s="55">
        <v>4123.1000000000004</v>
      </c>
      <c r="K487" s="55">
        <v>2363</v>
      </c>
      <c r="L487" s="55">
        <v>91.8</v>
      </c>
      <c r="M487" s="56">
        <v>100</v>
      </c>
      <c r="N487" s="112">
        <v>25938721.690000001</v>
      </c>
      <c r="O487" s="55">
        <v>0</v>
      </c>
      <c r="P487" s="62">
        <v>3283800.2</v>
      </c>
      <c r="Q487" s="62">
        <v>2709187.47</v>
      </c>
      <c r="R487" s="62">
        <v>1689747.05</v>
      </c>
      <c r="S487" s="62">
        <v>9626148</v>
      </c>
      <c r="T487" s="62">
        <v>8629838.9700000007</v>
      </c>
      <c r="U487" s="63">
        <v>10259.626094067</v>
      </c>
      <c r="V487" s="63">
        <v>1179.2830200640001</v>
      </c>
      <c r="W487" s="59">
        <v>2024</v>
      </c>
      <c r="X487" s="69">
        <v>889790.81</v>
      </c>
      <c r="Y487" s="69">
        <f>+(K487*9.1+L487*18.19)*12</f>
        <v>278077.70400000003</v>
      </c>
      <c r="AA487" s="70" t="e">
        <v>#REF!</v>
      </c>
      <c r="AD487" s="70" t="e">
        <v>#REF!</v>
      </c>
      <c r="AP487" s="61">
        <f>+N487-'Приложение №2'!E487</f>
        <v>2.7731247246265411E-3</v>
      </c>
      <c r="AQ487" s="65">
        <v>1417006.19</v>
      </c>
      <c r="AR487" s="3">
        <f>+(K487*10.5+L487*21)*12*0.85</f>
        <v>272740.86</v>
      </c>
      <c r="AS487" s="3">
        <f>+(K487*10.5+L487*21)*12*30</f>
        <v>9626148</v>
      </c>
      <c r="AT487" s="6">
        <f t="shared" si="145"/>
        <v>0</v>
      </c>
      <c r="AU487" s="6" t="e">
        <v>#REF!</v>
      </c>
      <c r="AV487" s="6" t="e">
        <v>#REF!</v>
      </c>
      <c r="AW487" s="110">
        <f t="shared" si="149"/>
        <v>24243496.460280344</v>
      </c>
      <c r="AX487" s="55">
        <v>5056669.2</v>
      </c>
      <c r="AY487" s="55">
        <v>0</v>
      </c>
      <c r="AZ487" s="55">
        <v>1858585.11356337</v>
      </c>
      <c r="BA487" s="55">
        <v>1963047.2488547801</v>
      </c>
      <c r="BB487" s="55">
        <v>0</v>
      </c>
      <c r="BC487" s="55"/>
      <c r="BD487" s="55">
        <v>201959.041792112</v>
      </c>
      <c r="BE487" s="55">
        <v>0</v>
      </c>
      <c r="BF487" s="55"/>
      <c r="BG487" s="55"/>
      <c r="BH487" s="55">
        <v>12116510.7844659</v>
      </c>
      <c r="BI487" s="55">
        <v>0</v>
      </c>
      <c r="BJ487" s="55">
        <v>2346890.1053085402</v>
      </c>
      <c r="BK487" s="63">
        <v>240511.25971565701</v>
      </c>
      <c r="BL487" s="64">
        <v>459323.70657998702</v>
      </c>
      <c r="BM487" s="110">
        <f t="shared" si="150"/>
        <v>24243496.460280344</v>
      </c>
      <c r="BN487" s="55">
        <v>5056669.2</v>
      </c>
      <c r="BO487" s="55">
        <v>0</v>
      </c>
      <c r="BP487" s="55">
        <v>1858585.11356337</v>
      </c>
      <c r="BQ487" s="55">
        <v>1963047.2488547801</v>
      </c>
      <c r="BR487" s="55">
        <v>0</v>
      </c>
      <c r="BS487" s="55"/>
      <c r="BT487" s="55">
        <v>201959.041792112</v>
      </c>
      <c r="BU487" s="55">
        <v>0</v>
      </c>
      <c r="BV487" s="55"/>
      <c r="BW487" s="55"/>
      <c r="BX487" s="55">
        <v>12116510.7844659</v>
      </c>
      <c r="BY487" s="55">
        <v>0</v>
      </c>
      <c r="BZ487" s="55">
        <v>2346890.1053085402</v>
      </c>
      <c r="CA487" s="63">
        <v>240511.25971565701</v>
      </c>
      <c r="CB487" s="64">
        <v>459323.70657998702</v>
      </c>
      <c r="CD487" s="75"/>
      <c r="CE487" s="6"/>
      <c r="CF487" s="114"/>
    </row>
    <row r="488" spans="1:149" s="69" customFormat="1" x14ac:dyDescent="0.25">
      <c r="A488" s="105">
        <f t="shared" si="151"/>
        <v>466</v>
      </c>
      <c r="B488" s="107">
        <f t="shared" si="148"/>
        <v>7</v>
      </c>
      <c r="C488" s="53" t="s">
        <v>299</v>
      </c>
      <c r="D488" s="53" t="s">
        <v>513</v>
      </c>
      <c r="E488" s="54" t="s">
        <v>514</v>
      </c>
      <c r="F488" s="54"/>
      <c r="G488" s="54" t="s">
        <v>64</v>
      </c>
      <c r="H488" s="54" t="s">
        <v>184</v>
      </c>
      <c r="I488" s="54" t="s">
        <v>184</v>
      </c>
      <c r="J488" s="55">
        <v>4170.5</v>
      </c>
      <c r="K488" s="55">
        <v>2454.1</v>
      </c>
      <c r="L488" s="55">
        <v>0</v>
      </c>
      <c r="M488" s="56">
        <v>90</v>
      </c>
      <c r="N488" s="112">
        <v>14330152.560000001</v>
      </c>
      <c r="O488" s="55"/>
      <c r="P488" s="63"/>
      <c r="Q488" s="62">
        <v>2709187.47</v>
      </c>
      <c r="R488" s="62">
        <v>1637608.13</v>
      </c>
      <c r="S488" s="62">
        <v>8201729.4199999999</v>
      </c>
      <c r="T488" s="62">
        <v>1781627.54</v>
      </c>
      <c r="U488" s="63">
        <v>5667.17</v>
      </c>
      <c r="V488" s="63">
        <v>1180.2830200640001</v>
      </c>
      <c r="W488" s="59">
        <v>2024</v>
      </c>
      <c r="AA488" s="70"/>
      <c r="AD488" s="70"/>
      <c r="AP488" s="61">
        <f>+N488-'Приложение №2'!E488</f>
        <v>-4.9302615225315094E-3</v>
      </c>
      <c r="AQ488" s="170">
        <v>1374774.02</v>
      </c>
      <c r="AR488" s="3">
        <f>+(K488*10.5+L488*21)*12*0.85</f>
        <v>262834.11</v>
      </c>
      <c r="AS488" s="3">
        <f>+(K488*10.5+L488*21)*12*30</f>
        <v>9276498</v>
      </c>
      <c r="AT488" s="6"/>
      <c r="AU488" s="6"/>
      <c r="AV488" s="6"/>
      <c r="AW488" s="110">
        <f t="shared" si="149"/>
        <v>13907801.896999961</v>
      </c>
      <c r="AX488" s="55"/>
      <c r="AY488" s="55"/>
      <c r="AZ488" s="55"/>
      <c r="BA488" s="55"/>
      <c r="BB488" s="55"/>
      <c r="BC488" s="55"/>
      <c r="BD488" s="55"/>
      <c r="BE488" s="55"/>
      <c r="BF488" s="55"/>
      <c r="BG488" s="55"/>
      <c r="BH488" s="55">
        <v>12113055.693399699</v>
      </c>
      <c r="BI488" s="55">
        <v>0</v>
      </c>
      <c r="BJ488" s="55">
        <v>1390780.1897</v>
      </c>
      <c r="BK488" s="63">
        <v>139078.01897</v>
      </c>
      <c r="BL488" s="64">
        <v>264887.99493026198</v>
      </c>
      <c r="BM488" s="110">
        <f t="shared" si="150"/>
        <v>13907801.896999961</v>
      </c>
      <c r="BN488" s="55"/>
      <c r="BO488" s="55"/>
      <c r="BP488" s="55"/>
      <c r="BQ488" s="55"/>
      <c r="BR488" s="55"/>
      <c r="BS488" s="55"/>
      <c r="BT488" s="55"/>
      <c r="BU488" s="55"/>
      <c r="BV488" s="55"/>
      <c r="BW488" s="55"/>
      <c r="BX488" s="55">
        <v>12113055.693399699</v>
      </c>
      <c r="BY488" s="55">
        <v>0</v>
      </c>
      <c r="BZ488" s="55">
        <v>1390780.1897</v>
      </c>
      <c r="CA488" s="63">
        <v>139078.01897</v>
      </c>
      <c r="CB488" s="64">
        <v>264887.99493026198</v>
      </c>
      <c r="CD488" s="171"/>
      <c r="CE488" s="6"/>
      <c r="CF488" s="116"/>
    </row>
    <row r="489" spans="1:149" x14ac:dyDescent="0.25">
      <c r="A489" s="105">
        <f t="shared" si="151"/>
        <v>467</v>
      </c>
      <c r="B489" s="107">
        <f t="shared" si="148"/>
        <v>8</v>
      </c>
      <c r="C489" s="107" t="s">
        <v>71</v>
      </c>
      <c r="D489" s="107" t="s">
        <v>305</v>
      </c>
      <c r="E489" s="54">
        <v>1989</v>
      </c>
      <c r="F489" s="54">
        <v>2012</v>
      </c>
      <c r="G489" s="54" t="s">
        <v>64</v>
      </c>
      <c r="H489" s="54">
        <v>5</v>
      </c>
      <c r="I489" s="54">
        <v>4</v>
      </c>
      <c r="J489" s="55">
        <v>5759.5</v>
      </c>
      <c r="K489" s="55">
        <v>4823.5</v>
      </c>
      <c r="L489" s="55">
        <v>45.7</v>
      </c>
      <c r="M489" s="56">
        <v>161</v>
      </c>
      <c r="N489" s="108">
        <v>4946612.43</v>
      </c>
      <c r="O489" s="63"/>
      <c r="P489" s="62">
        <v>338879.33</v>
      </c>
      <c r="Q489" s="63"/>
      <c r="R489" s="63"/>
      <c r="S489" s="62">
        <v>1499345.41</v>
      </c>
      <c r="T489" s="62">
        <v>3108387.69</v>
      </c>
      <c r="U489" s="55">
        <v>3631.3565411908598</v>
      </c>
      <c r="V489" s="55">
        <v>3631.3565411908598</v>
      </c>
      <c r="W489" s="59">
        <v>2024</v>
      </c>
      <c r="X489" s="6" t="e">
        <v>#REF!</v>
      </c>
      <c r="Z489" s="62">
        <f>SUM(AA489:AO489)</f>
        <v>25451028.170904994</v>
      </c>
      <c r="AA489" s="55">
        <v>0</v>
      </c>
      <c r="AB489" s="55">
        <v>0</v>
      </c>
      <c r="AC489" s="55">
        <v>0</v>
      </c>
      <c r="AD489" s="55">
        <v>0</v>
      </c>
      <c r="AE489" s="55">
        <v>0</v>
      </c>
      <c r="AF489" s="55"/>
      <c r="AG489" s="55">
        <v>0</v>
      </c>
      <c r="AH489" s="55">
        <v>0</v>
      </c>
      <c r="AI489" s="55">
        <v>0</v>
      </c>
      <c r="AJ489" s="55">
        <v>8223538.8330426197</v>
      </c>
      <c r="AK489" s="55">
        <v>10255795.807027901</v>
      </c>
      <c r="AL489" s="55">
        <v>3687340.1494918698</v>
      </c>
      <c r="AM489" s="55">
        <v>2545102.8170905001</v>
      </c>
      <c r="AN489" s="63">
        <v>254510.28170905</v>
      </c>
      <c r="AO489" s="64">
        <v>484740.282543056</v>
      </c>
      <c r="AP489" s="61">
        <f>+N489-'Приложение №2'!E484</f>
        <v>-35845877.345723681</v>
      </c>
      <c r="AQ489" s="1">
        <v>2384141.34</v>
      </c>
      <c r="AR489" s="3">
        <f>+(K489*10+L489*20)*12*0.85</f>
        <v>501319.8</v>
      </c>
      <c r="AS489" s="3">
        <f>+(K489*10+L489*20)*12*30</f>
        <v>17693640</v>
      </c>
      <c r="AT489" s="6">
        <f t="shared" ref="AT489:AT520" si="152">+S489-AS489</f>
        <v>-16194294.59</v>
      </c>
      <c r="AU489" s="6" t="e">
        <v>#REF!</v>
      </c>
      <c r="AV489" s="6" t="e">
        <v>#REF!</v>
      </c>
      <c r="AW489" s="62">
        <f t="shared" si="149"/>
        <v>17681801.270366538</v>
      </c>
      <c r="AX489" s="55">
        <v>0</v>
      </c>
      <c r="AY489" s="55">
        <v>0</v>
      </c>
      <c r="AZ489" s="55">
        <v>3130340.41</v>
      </c>
      <c r="BA489" s="55">
        <v>2723483.78</v>
      </c>
      <c r="BB489" s="55">
        <v>0</v>
      </c>
      <c r="BC489" s="55"/>
      <c r="BD489" s="55"/>
      <c r="BE489" s="55">
        <v>0</v>
      </c>
      <c r="BF489" s="55">
        <v>0</v>
      </c>
      <c r="BG489" s="55">
        <v>6881364.6500000004</v>
      </c>
      <c r="BH489" s="55">
        <v>4596356.03</v>
      </c>
      <c r="BI489" s="55"/>
      <c r="BJ489" s="55"/>
      <c r="BK489" s="63"/>
      <c r="BL489" s="111">
        <f>179832.138797376+170424.261569162</f>
        <v>350256.40036653797</v>
      </c>
      <c r="BM489" s="62">
        <f t="shared" si="150"/>
        <v>14479316.830366537</v>
      </c>
      <c r="BN489" s="55">
        <v>0</v>
      </c>
      <c r="BO489" s="55">
        <v>0</v>
      </c>
      <c r="BP489" s="55">
        <v>1953253.18</v>
      </c>
      <c r="BQ489" s="55">
        <v>1982667.17</v>
      </c>
      <c r="BR489" s="55">
        <v>0</v>
      </c>
      <c r="BS489" s="55"/>
      <c r="BT489" s="55"/>
      <c r="BU489" s="55">
        <v>0</v>
      </c>
      <c r="BV489" s="55">
        <v>0</v>
      </c>
      <c r="BW489" s="55">
        <v>5596784.0499999998</v>
      </c>
      <c r="BX489" s="55">
        <v>4596356.03</v>
      </c>
      <c r="BY489" s="55"/>
      <c r="BZ489" s="55"/>
      <c r="CA489" s="63"/>
      <c r="CB489" s="64">
        <f>179832.138797376+170424.261569162</f>
        <v>350256.40036653797</v>
      </c>
      <c r="CD489" s="75"/>
      <c r="CE489" s="6"/>
    </row>
    <row r="490" spans="1:149" s="69" customFormat="1" x14ac:dyDescent="0.25">
      <c r="A490" s="105">
        <f t="shared" si="151"/>
        <v>468</v>
      </c>
      <c r="B490" s="107">
        <f t="shared" si="148"/>
        <v>9</v>
      </c>
      <c r="C490" s="53" t="s">
        <v>62</v>
      </c>
      <c r="D490" s="53" t="s">
        <v>515</v>
      </c>
      <c r="E490" s="54" t="s">
        <v>512</v>
      </c>
      <c r="F490" s="54"/>
      <c r="G490" s="54" t="s">
        <v>64</v>
      </c>
      <c r="H490" s="54" t="s">
        <v>101</v>
      </c>
      <c r="I490" s="54" t="s">
        <v>184</v>
      </c>
      <c r="J490" s="55">
        <v>3725.6</v>
      </c>
      <c r="K490" s="55">
        <v>3166.8</v>
      </c>
      <c r="L490" s="55">
        <v>0</v>
      </c>
      <c r="M490" s="56">
        <v>150</v>
      </c>
      <c r="N490" s="112">
        <v>19115933.399999999</v>
      </c>
      <c r="O490" s="55">
        <v>0</v>
      </c>
      <c r="P490" s="62">
        <v>3810910.3</v>
      </c>
      <c r="Q490" s="63"/>
      <c r="R490" s="62">
        <v>1967279.13</v>
      </c>
      <c r="S490" s="57">
        <v>3625749.05</v>
      </c>
      <c r="T490" s="57">
        <v>9711994.9199999999</v>
      </c>
      <c r="U490" s="63">
        <v>6036.35638456785</v>
      </c>
      <c r="V490" s="63">
        <v>1181.2830200640001</v>
      </c>
      <c r="W490" s="59">
        <v>2024</v>
      </c>
      <c r="X490" s="69">
        <v>1326436.8899999999</v>
      </c>
      <c r="Y490" s="69">
        <f>+(K490*9.1+L490*18.19)*12</f>
        <v>345814.56</v>
      </c>
      <c r="AA490" s="70" t="e">
        <v>#REF!</v>
      </c>
      <c r="AD490" s="70" t="e">
        <v>#REF!</v>
      </c>
      <c r="AP490" s="61">
        <f>+N490-'Приложение №2'!E490</f>
        <v>1.3505257666110992E-3</v>
      </c>
      <c r="AQ490" s="69">
        <v>1644265.53</v>
      </c>
      <c r="AR490" s="3">
        <f>+(K490*10+L490*20)*12*0.85</f>
        <v>323013.59999999998</v>
      </c>
      <c r="AS490" s="3">
        <f>+(K490*10+L490*20)*12*30</f>
        <v>11400480</v>
      </c>
      <c r="AT490" s="6">
        <f t="shared" si="152"/>
        <v>-7774730.9500000002</v>
      </c>
      <c r="AU490" s="6" t="e">
        <v>#REF!</v>
      </c>
      <c r="AV490" s="6" t="e">
        <v>#REF!</v>
      </c>
      <c r="AW490" s="62">
        <f t="shared" si="149"/>
        <v>19115933.398649473</v>
      </c>
      <c r="AX490" s="55"/>
      <c r="AY490" s="55"/>
      <c r="AZ490" s="55"/>
      <c r="BA490" s="55"/>
      <c r="BB490" s="55"/>
      <c r="BC490" s="55"/>
      <c r="BD490" s="55"/>
      <c r="BE490" s="55"/>
      <c r="BF490" s="55"/>
      <c r="BG490" s="55"/>
      <c r="BH490" s="55">
        <v>18418596.889079701</v>
      </c>
      <c r="BI490" s="55"/>
      <c r="BJ490" s="55">
        <v>409917.87</v>
      </c>
      <c r="BK490" s="63"/>
      <c r="BL490" s="64">
        <v>287418.639569772</v>
      </c>
      <c r="BM490" s="62">
        <f t="shared" si="150"/>
        <v>19115933.398649473</v>
      </c>
      <c r="BN490" s="55"/>
      <c r="BO490" s="55"/>
      <c r="BP490" s="55"/>
      <c r="BQ490" s="55"/>
      <c r="BR490" s="55"/>
      <c r="BS490" s="55"/>
      <c r="BT490" s="55"/>
      <c r="BU490" s="55"/>
      <c r="BV490" s="55"/>
      <c r="BW490" s="55"/>
      <c r="BX490" s="55">
        <v>18418596.889079701</v>
      </c>
      <c r="BY490" s="55"/>
      <c r="BZ490" s="55">
        <v>409917.87</v>
      </c>
      <c r="CA490" s="63"/>
      <c r="CB490" s="64">
        <v>287418.639569772</v>
      </c>
      <c r="CD490" s="75"/>
      <c r="CE490" s="6"/>
    </row>
    <row r="491" spans="1:149" x14ac:dyDescent="0.25">
      <c r="A491" s="105">
        <f t="shared" si="151"/>
        <v>469</v>
      </c>
      <c r="B491" s="107">
        <f t="shared" si="148"/>
        <v>10</v>
      </c>
      <c r="C491" s="53" t="s">
        <v>71</v>
      </c>
      <c r="D491" s="53" t="s">
        <v>456</v>
      </c>
      <c r="E491" s="54">
        <v>1998</v>
      </c>
      <c r="F491" s="54">
        <v>1998</v>
      </c>
      <c r="G491" s="54" t="s">
        <v>64</v>
      </c>
      <c r="H491" s="54">
        <v>5</v>
      </c>
      <c r="I491" s="54">
        <v>4</v>
      </c>
      <c r="J491" s="55">
        <v>4979.8</v>
      </c>
      <c r="K491" s="55">
        <v>4317.2</v>
      </c>
      <c r="L491" s="55">
        <v>0</v>
      </c>
      <c r="M491" s="56">
        <v>170</v>
      </c>
      <c r="N491" s="112">
        <v>14998628.98</v>
      </c>
      <c r="O491" s="55"/>
      <c r="P491" s="62">
        <v>2268811.7799999998</v>
      </c>
      <c r="Q491" s="63"/>
      <c r="R491" s="62">
        <v>149801.63</v>
      </c>
      <c r="S491" s="62">
        <v>2102923.16</v>
      </c>
      <c r="T491" s="62">
        <v>10477092.41</v>
      </c>
      <c r="U491" s="63">
        <v>5983.4926343375801</v>
      </c>
      <c r="V491" s="63">
        <v>1180.2830200640001</v>
      </c>
      <c r="W491" s="59">
        <v>2024</v>
      </c>
      <c r="X491" s="6" t="e">
        <v>#REF!</v>
      </c>
      <c r="Z491" s="62">
        <f>SUM(AA491:AO491)</f>
        <v>27698101.323736921</v>
      </c>
      <c r="AA491" s="55">
        <v>12131968.2109069</v>
      </c>
      <c r="AB491" s="55">
        <v>5844352.9357768297</v>
      </c>
      <c r="AC491" s="55">
        <v>3569164.9191403301</v>
      </c>
      <c r="AD491" s="55">
        <v>2405162.55785621</v>
      </c>
      <c r="AE491" s="55">
        <v>0</v>
      </c>
      <c r="AF491" s="55"/>
      <c r="AG491" s="55">
        <v>391844.91901863401</v>
      </c>
      <c r="AH491" s="55">
        <v>0</v>
      </c>
      <c r="AI491" s="55">
        <v>0</v>
      </c>
      <c r="AJ491" s="55">
        <v>0</v>
      </c>
      <c r="AK491" s="55">
        <v>0</v>
      </c>
      <c r="AL491" s="55">
        <v>0</v>
      </c>
      <c r="AM491" s="55">
        <v>2546305.7359043099</v>
      </c>
      <c r="AN491" s="63">
        <v>276981.01323736901</v>
      </c>
      <c r="AO491" s="64">
        <v>532321.03189633798</v>
      </c>
      <c r="AP491" s="61">
        <f>+N491-'Приложение №2'!E491</f>
        <v>-9.1497227549552917E-4</v>
      </c>
      <c r="AQ491" s="1">
        <f>2564742.71-1318564.22</f>
        <v>1246178.49</v>
      </c>
      <c r="AR491" s="3">
        <f>+(K491*10.5+L491*21)*12*0.85</f>
        <v>462372.11999999994</v>
      </c>
      <c r="AS491" s="3">
        <f>+(K491*10.5+L491*21)*12*30</f>
        <v>16319015.999999998</v>
      </c>
      <c r="AT491" s="6">
        <f t="shared" si="152"/>
        <v>-14216092.839999998</v>
      </c>
      <c r="AU491" s="6" t="e">
        <v>#REF!</v>
      </c>
      <c r="AV491" s="6" t="e">
        <v>#REF!</v>
      </c>
      <c r="AW491" s="110">
        <f t="shared" si="149"/>
        <v>25831934.400962204</v>
      </c>
      <c r="AX491" s="55">
        <v>12131968.2109069</v>
      </c>
      <c r="AY491" s="55">
        <v>6473660.0199999996</v>
      </c>
      <c r="AZ491" s="55">
        <v>3569164.9191403301</v>
      </c>
      <c r="BA491" s="55">
        <v>2732975.3</v>
      </c>
      <c r="BB491" s="55">
        <v>0</v>
      </c>
      <c r="BC491" s="55"/>
      <c r="BD491" s="55">
        <v>391844.91901863401</v>
      </c>
      <c r="BE491" s="55">
        <v>0</v>
      </c>
      <c r="BF491" s="55">
        <v>0</v>
      </c>
      <c r="BG491" s="55">
        <v>0</v>
      </c>
      <c r="BH491" s="55">
        <v>0</v>
      </c>
      <c r="BI491" s="55">
        <v>0</v>
      </c>
      <c r="BJ491" s="55"/>
      <c r="BK491" s="63"/>
      <c r="BL491" s="111">
        <v>532321.03189633798</v>
      </c>
      <c r="BM491" s="110">
        <f t="shared" si="150"/>
        <v>25831934.400962204</v>
      </c>
      <c r="BN491" s="55">
        <v>12131968.2109069</v>
      </c>
      <c r="BO491" s="55">
        <v>6473660.0199999996</v>
      </c>
      <c r="BP491" s="55">
        <v>3569164.9191403301</v>
      </c>
      <c r="BQ491" s="55">
        <v>2732975.3</v>
      </c>
      <c r="BR491" s="55">
        <v>0</v>
      </c>
      <c r="BS491" s="55"/>
      <c r="BT491" s="55">
        <v>391844.91901863401</v>
      </c>
      <c r="BU491" s="55">
        <v>0</v>
      </c>
      <c r="BV491" s="55">
        <v>0</v>
      </c>
      <c r="BW491" s="55">
        <v>0</v>
      </c>
      <c r="BX491" s="55">
        <v>0</v>
      </c>
      <c r="BY491" s="55">
        <v>0</v>
      </c>
      <c r="BZ491" s="55"/>
      <c r="CA491" s="63"/>
      <c r="CB491" s="64">
        <v>532321.03189633798</v>
      </c>
      <c r="CD491" s="74"/>
      <c r="CE491" s="6"/>
    </row>
    <row r="492" spans="1:149" x14ac:dyDescent="0.25">
      <c r="A492" s="105">
        <f t="shared" si="151"/>
        <v>470</v>
      </c>
      <c r="B492" s="107">
        <f t="shared" si="148"/>
        <v>11</v>
      </c>
      <c r="C492" s="53" t="s">
        <v>71</v>
      </c>
      <c r="D492" s="53" t="s">
        <v>74</v>
      </c>
      <c r="E492" s="54">
        <v>1985</v>
      </c>
      <c r="F492" s="54">
        <v>1985</v>
      </c>
      <c r="G492" s="54" t="s">
        <v>64</v>
      </c>
      <c r="H492" s="54">
        <v>4</v>
      </c>
      <c r="I492" s="54">
        <v>2</v>
      </c>
      <c r="J492" s="55">
        <v>1511.1</v>
      </c>
      <c r="K492" s="55">
        <v>1366.85</v>
      </c>
      <c r="L492" s="55">
        <v>0</v>
      </c>
      <c r="M492" s="56">
        <v>62</v>
      </c>
      <c r="N492" s="112">
        <v>3192771.55</v>
      </c>
      <c r="O492" s="55"/>
      <c r="P492" s="62">
        <v>478248.09</v>
      </c>
      <c r="Q492" s="63"/>
      <c r="R492" s="62">
        <v>732918.84</v>
      </c>
      <c r="S492" s="62">
        <v>1981604.62</v>
      </c>
      <c r="T492" s="55"/>
      <c r="U492" s="63">
        <v>2335.86095219865</v>
      </c>
      <c r="V492" s="63">
        <v>1183.2830200640001</v>
      </c>
      <c r="W492" s="59">
        <v>2024</v>
      </c>
      <c r="X492" s="6" t="e">
        <v>#REF!</v>
      </c>
      <c r="Z492" s="62">
        <f>SUM(AA492:AO492)</f>
        <v>7089248.6021132804</v>
      </c>
      <c r="AA492" s="55">
        <v>0</v>
      </c>
      <c r="AB492" s="55">
        <v>0</v>
      </c>
      <c r="AC492" s="55">
        <v>0</v>
      </c>
      <c r="AD492" s="55">
        <v>0</v>
      </c>
      <c r="AE492" s="55">
        <v>0</v>
      </c>
      <c r="AF492" s="55"/>
      <c r="AG492" s="55">
        <v>0</v>
      </c>
      <c r="AH492" s="55">
        <v>0</v>
      </c>
      <c r="AI492" s="55">
        <v>0</v>
      </c>
      <c r="AJ492" s="55">
        <v>2448913.4700000002</v>
      </c>
      <c r="AK492" s="55">
        <v>3110879.85</v>
      </c>
      <c r="AL492" s="55">
        <v>1036083.92287794</v>
      </c>
      <c r="AM492" s="55">
        <v>392917.04065692797</v>
      </c>
      <c r="AN492" s="63">
        <v>18562.626065692799</v>
      </c>
      <c r="AO492" s="64">
        <v>81891.692512718495</v>
      </c>
      <c r="AP492" s="61">
        <f>+N492-'Приложение №2'!E492</f>
        <v>7.4872812256217003E-3</v>
      </c>
      <c r="AQ492" s="1">
        <v>593500.14</v>
      </c>
      <c r="AR492" s="3">
        <f>+(K492*10+L492*20)*12*0.85</f>
        <v>139418.69999999998</v>
      </c>
      <c r="AS492" s="3">
        <f>+(K492*10+L492*20)*12*30</f>
        <v>4920660</v>
      </c>
      <c r="AT492" s="6">
        <f t="shared" si="152"/>
        <v>-2939055.38</v>
      </c>
      <c r="AU492" s="6" t="e">
        <v>#REF!</v>
      </c>
      <c r="AV492" s="6" t="e">
        <v>#REF!</v>
      </c>
      <c r="AW492" s="62">
        <f t="shared" si="149"/>
        <v>3192771.5425127186</v>
      </c>
      <c r="AX492" s="55">
        <v>0</v>
      </c>
      <c r="AY492" s="55">
        <v>0</v>
      </c>
      <c r="AZ492" s="55">
        <v>0</v>
      </c>
      <c r="BA492" s="55">
        <v>0</v>
      </c>
      <c r="BB492" s="55">
        <v>0</v>
      </c>
      <c r="BC492" s="55"/>
      <c r="BD492" s="55"/>
      <c r="BE492" s="55">
        <v>0</v>
      </c>
      <c r="BF492" s="55">
        <v>0</v>
      </c>
      <c r="BG492" s="55"/>
      <c r="BH492" s="55">
        <v>3110879.85</v>
      </c>
      <c r="BI492" s="55"/>
      <c r="BJ492" s="55"/>
      <c r="BK492" s="63"/>
      <c r="BL492" s="64">
        <v>81891.692512718495</v>
      </c>
      <c r="BM492" s="62">
        <f t="shared" si="150"/>
        <v>3192771.5425127186</v>
      </c>
      <c r="BN492" s="55">
        <v>0</v>
      </c>
      <c r="BO492" s="55">
        <v>0</v>
      </c>
      <c r="BP492" s="55">
        <v>0</v>
      </c>
      <c r="BQ492" s="55">
        <v>0</v>
      </c>
      <c r="BR492" s="55">
        <v>0</v>
      </c>
      <c r="BS492" s="55"/>
      <c r="BT492" s="55"/>
      <c r="BU492" s="55">
        <v>0</v>
      </c>
      <c r="BV492" s="55">
        <v>0</v>
      </c>
      <c r="BW492" s="55"/>
      <c r="BX492" s="55">
        <v>3110879.85</v>
      </c>
      <c r="BY492" s="55"/>
      <c r="BZ492" s="55"/>
      <c r="CA492" s="63"/>
      <c r="CB492" s="64">
        <v>81891.692512718495</v>
      </c>
      <c r="CD492" s="75"/>
      <c r="CE492" s="6"/>
    </row>
    <row r="493" spans="1:149" x14ac:dyDescent="0.25">
      <c r="A493" s="105">
        <f t="shared" si="151"/>
        <v>471</v>
      </c>
      <c r="B493" s="107">
        <f t="shared" si="148"/>
        <v>12</v>
      </c>
      <c r="C493" s="53" t="s">
        <v>71</v>
      </c>
      <c r="D493" s="53" t="s">
        <v>73</v>
      </c>
      <c r="E493" s="54">
        <v>1990</v>
      </c>
      <c r="F493" s="54">
        <v>1990</v>
      </c>
      <c r="G493" s="54" t="s">
        <v>64</v>
      </c>
      <c r="H493" s="54">
        <v>5</v>
      </c>
      <c r="I493" s="54">
        <v>6</v>
      </c>
      <c r="J493" s="55">
        <v>5208.7</v>
      </c>
      <c r="K493" s="55">
        <v>4621.34</v>
      </c>
      <c r="L493" s="55">
        <v>0</v>
      </c>
      <c r="M493" s="56">
        <v>157</v>
      </c>
      <c r="N493" s="112">
        <v>32932723.460000001</v>
      </c>
      <c r="O493" s="55"/>
      <c r="P493" s="62">
        <v>3299198.83</v>
      </c>
      <c r="Q493" s="63"/>
      <c r="R493" s="62">
        <v>1221882.47</v>
      </c>
      <c r="S493" s="62">
        <v>14100981.279999999</v>
      </c>
      <c r="T493" s="62">
        <v>14310660.880000001</v>
      </c>
      <c r="U493" s="63">
        <v>7126.2282086177502</v>
      </c>
      <c r="V493" s="63">
        <v>1181.2830200640001</v>
      </c>
      <c r="W493" s="59">
        <v>2024</v>
      </c>
      <c r="X493" s="6" t="e">
        <v>#REF!</v>
      </c>
      <c r="Z493" s="62">
        <f>SUM(AA493:AO493)</f>
        <v>29603700.840000004</v>
      </c>
      <c r="AA493" s="55">
        <v>12966620.036643</v>
      </c>
      <c r="AB493" s="55">
        <v>6246443.2957088398</v>
      </c>
      <c r="AC493" s="55">
        <v>3814719.10351812</v>
      </c>
      <c r="AD493" s="55">
        <v>2570628.0509279999</v>
      </c>
      <c r="AE493" s="55">
        <v>0</v>
      </c>
      <c r="AF493" s="55"/>
      <c r="AG493" s="55">
        <v>418822.00892280001</v>
      </c>
      <c r="AH493" s="55">
        <v>0</v>
      </c>
      <c r="AI493" s="55">
        <v>0</v>
      </c>
      <c r="AJ493" s="55">
        <v>0</v>
      </c>
      <c r="AK493" s="55">
        <v>0</v>
      </c>
      <c r="AL493" s="55">
        <v>0</v>
      </c>
      <c r="AM493" s="55">
        <v>2721487.1549999998</v>
      </c>
      <c r="AN493" s="63">
        <v>296037.00839999999</v>
      </c>
      <c r="AO493" s="64">
        <v>568944.18087924004</v>
      </c>
      <c r="AP493" s="61">
        <f>+N493-'Приложение №2'!E493</f>
        <v>-9.6135251224040985E-3</v>
      </c>
      <c r="AQ493" s="6">
        <f>2725566.58-R25</f>
        <v>726936.96</v>
      </c>
      <c r="AR493" s="3">
        <f>+(K493*10.5+L493*21)*12*0.85</f>
        <v>494945.51399999997</v>
      </c>
      <c r="AS493" s="3">
        <f>+(K493*10.5+L493*21)*12*30-S25</f>
        <v>14100981.284563839</v>
      </c>
      <c r="AT493" s="6">
        <f t="shared" si="152"/>
        <v>-4.5638401061296463E-3</v>
      </c>
      <c r="AU493" s="6" t="e">
        <v>#REF!</v>
      </c>
      <c r="AV493" s="6" t="e">
        <v>#REF!</v>
      </c>
      <c r="AW493" s="110">
        <f t="shared" si="149"/>
        <v>32932723.469613526</v>
      </c>
      <c r="AX493" s="55">
        <v>15445175.692750501</v>
      </c>
      <c r="AY493" s="55"/>
      <c r="AZ493" s="55"/>
      <c r="BA493" s="55">
        <v>4394988.2082883697</v>
      </c>
      <c r="BB493" s="55">
        <v>0</v>
      </c>
      <c r="BC493" s="55"/>
      <c r="BD493" s="55">
        <v>498856.69936996902</v>
      </c>
      <c r="BE493" s="55">
        <v>0</v>
      </c>
      <c r="BF493" s="55">
        <v>0</v>
      </c>
      <c r="BG493" s="55">
        <v>0</v>
      </c>
      <c r="BH493" s="55">
        <v>0</v>
      </c>
      <c r="BI493" s="55">
        <v>11673633.7116115</v>
      </c>
      <c r="BJ493" s="55"/>
      <c r="BK493" s="63"/>
      <c r="BL493" s="64">
        <v>920069.15759318694</v>
      </c>
      <c r="BM493" s="110">
        <f t="shared" si="150"/>
        <v>32932723.469613526</v>
      </c>
      <c r="BN493" s="55">
        <v>15445175.692750501</v>
      </c>
      <c r="BO493" s="55"/>
      <c r="BP493" s="55"/>
      <c r="BQ493" s="55">
        <v>4394988.2082883697</v>
      </c>
      <c r="BR493" s="55">
        <v>0</v>
      </c>
      <c r="BS493" s="55"/>
      <c r="BT493" s="55">
        <v>498856.69936996902</v>
      </c>
      <c r="BU493" s="55">
        <v>0</v>
      </c>
      <c r="BV493" s="55">
        <v>0</v>
      </c>
      <c r="BW493" s="55">
        <v>0</v>
      </c>
      <c r="BX493" s="55">
        <v>0</v>
      </c>
      <c r="BY493" s="55">
        <v>11673633.7116115</v>
      </c>
      <c r="BZ493" s="55"/>
      <c r="CA493" s="63"/>
      <c r="CB493" s="64">
        <v>920069.15759318694</v>
      </c>
      <c r="CD493" s="75"/>
      <c r="CE493" s="6"/>
    </row>
    <row r="494" spans="1:149" x14ac:dyDescent="0.25">
      <c r="A494" s="105">
        <f t="shared" si="151"/>
        <v>472</v>
      </c>
      <c r="B494" s="107">
        <f t="shared" si="148"/>
        <v>13</v>
      </c>
      <c r="C494" s="53" t="s">
        <v>71</v>
      </c>
      <c r="D494" s="53" t="s">
        <v>457</v>
      </c>
      <c r="E494" s="54">
        <v>1996</v>
      </c>
      <c r="F494" s="54">
        <v>1996</v>
      </c>
      <c r="G494" s="54" t="s">
        <v>64</v>
      </c>
      <c r="H494" s="54">
        <v>5</v>
      </c>
      <c r="I494" s="54">
        <v>4</v>
      </c>
      <c r="J494" s="55">
        <v>3635.6</v>
      </c>
      <c r="K494" s="55">
        <v>3076.7</v>
      </c>
      <c r="L494" s="55">
        <v>0</v>
      </c>
      <c r="M494" s="56">
        <v>99</v>
      </c>
      <c r="N494" s="112">
        <v>8070323.7300000004</v>
      </c>
      <c r="O494" s="55"/>
      <c r="P494" s="62">
        <v>792516.58</v>
      </c>
      <c r="Q494" s="63"/>
      <c r="R494" s="62">
        <v>329514.57</v>
      </c>
      <c r="S494" s="62">
        <v>3294488.38</v>
      </c>
      <c r="T494" s="62">
        <v>3653804.2</v>
      </c>
      <c r="U494" s="63">
        <v>1109.97150386968</v>
      </c>
      <c r="V494" s="63">
        <v>1182.2830200640001</v>
      </c>
      <c r="W494" s="59">
        <v>2024</v>
      </c>
      <c r="X494" s="6" t="e">
        <v>#REF!</v>
      </c>
      <c r="Z494" s="62">
        <f>SUM(AA494:AO494)</f>
        <v>19793523.878556486</v>
      </c>
      <c r="AA494" s="55">
        <v>8669706.2614425998</v>
      </c>
      <c r="AB494" s="55">
        <v>4176471.8107184502</v>
      </c>
      <c r="AC494" s="55">
        <v>2550584.6132842102</v>
      </c>
      <c r="AD494" s="55">
        <v>1718769.1663160501</v>
      </c>
      <c r="AE494" s="55">
        <v>0</v>
      </c>
      <c r="AF494" s="55"/>
      <c r="AG494" s="55">
        <v>280018.89626418502</v>
      </c>
      <c r="AH494" s="55">
        <v>0</v>
      </c>
      <c r="AI494" s="55">
        <v>0</v>
      </c>
      <c r="AJ494" s="55">
        <v>0</v>
      </c>
      <c r="AK494" s="55">
        <v>0</v>
      </c>
      <c r="AL494" s="55">
        <v>0</v>
      </c>
      <c r="AM494" s="55">
        <v>1819632.42883132</v>
      </c>
      <c r="AN494" s="63">
        <v>197935.23878556499</v>
      </c>
      <c r="AO494" s="64">
        <v>380405.46291410702</v>
      </c>
      <c r="AP494" s="61">
        <f>+N494-'Приложение №2'!E494</f>
        <v>-2.2200355306267738E-3</v>
      </c>
      <c r="AQ494" s="6">
        <f>1855261.06-R384</f>
        <v>1278759.96</v>
      </c>
      <c r="AR494" s="3">
        <f>+(K494*10.5+L494*21)*12*0.85</f>
        <v>329514.56999999995</v>
      </c>
      <c r="AS494" s="3">
        <f>+(K494*10.5+L494*21)*12*30-S384</f>
        <v>8999824.8021925986</v>
      </c>
      <c r="AT494" s="6">
        <f t="shared" si="152"/>
        <v>-5705336.4221925987</v>
      </c>
      <c r="AU494" s="6" t="e">
        <v>#REF!</v>
      </c>
      <c r="AV494" s="6" t="e">
        <v>#REF!</v>
      </c>
      <c r="AW494" s="110">
        <f t="shared" si="149"/>
        <v>3415049.325955851</v>
      </c>
      <c r="AX494" s="55"/>
      <c r="AY494" s="55"/>
      <c r="AZ494" s="55">
        <v>3025139.6994356201</v>
      </c>
      <c r="BA494" s="55"/>
      <c r="BB494" s="55">
        <v>0</v>
      </c>
      <c r="BC494" s="55"/>
      <c r="BD494" s="55"/>
      <c r="BE494" s="55">
        <v>0</v>
      </c>
      <c r="BF494" s="55">
        <v>0</v>
      </c>
      <c r="BG494" s="55">
        <v>0</v>
      </c>
      <c r="BH494" s="55">
        <v>0</v>
      </c>
      <c r="BI494" s="55">
        <v>0</v>
      </c>
      <c r="BJ494" s="55"/>
      <c r="BK494" s="63"/>
      <c r="BL494" s="64">
        <v>389909.62652023102</v>
      </c>
      <c r="BM494" s="110">
        <f t="shared" si="150"/>
        <v>3415049.325955851</v>
      </c>
      <c r="BN494" s="55"/>
      <c r="BO494" s="55"/>
      <c r="BP494" s="55">
        <v>3025139.6994356201</v>
      </c>
      <c r="BQ494" s="55"/>
      <c r="BR494" s="55">
        <v>0</v>
      </c>
      <c r="BS494" s="55"/>
      <c r="BT494" s="55"/>
      <c r="BU494" s="55">
        <v>0</v>
      </c>
      <c r="BV494" s="55">
        <v>0</v>
      </c>
      <c r="BW494" s="55">
        <v>0</v>
      </c>
      <c r="BX494" s="55">
        <v>0</v>
      </c>
      <c r="BY494" s="55">
        <v>0</v>
      </c>
      <c r="BZ494" s="55"/>
      <c r="CA494" s="63"/>
      <c r="CB494" s="64">
        <v>389909.62652023102</v>
      </c>
      <c r="CD494" s="75"/>
      <c r="CE494" s="6"/>
    </row>
    <row r="495" spans="1:149" x14ac:dyDescent="0.25">
      <c r="A495" s="105">
        <f t="shared" si="151"/>
        <v>473</v>
      </c>
      <c r="B495" s="107">
        <f t="shared" si="148"/>
        <v>14</v>
      </c>
      <c r="C495" s="53" t="s">
        <v>516</v>
      </c>
      <c r="D495" s="53" t="s">
        <v>517</v>
      </c>
      <c r="E495" s="54">
        <v>1996</v>
      </c>
      <c r="F495" s="54">
        <v>1996</v>
      </c>
      <c r="G495" s="54" t="s">
        <v>64</v>
      </c>
      <c r="H495" s="54">
        <v>5</v>
      </c>
      <c r="I495" s="54">
        <v>3</v>
      </c>
      <c r="J495" s="55">
        <v>4938</v>
      </c>
      <c r="K495" s="55">
        <v>4205.3999999999996</v>
      </c>
      <c r="L495" s="55">
        <v>368.1</v>
      </c>
      <c r="M495" s="56">
        <v>156</v>
      </c>
      <c r="N495" s="112">
        <v>26824385.300000001</v>
      </c>
      <c r="O495" s="55"/>
      <c r="P495" s="62">
        <v>3325117.07</v>
      </c>
      <c r="Q495" s="63"/>
      <c r="R495" s="62">
        <v>893007.83</v>
      </c>
      <c r="S495" s="63"/>
      <c r="T495" s="62">
        <v>22606260.399999999</v>
      </c>
      <c r="U495" s="63">
        <v>6378.5574020888098</v>
      </c>
      <c r="V495" s="63">
        <v>1183.2830200640001</v>
      </c>
      <c r="W495" s="59">
        <v>2024</v>
      </c>
      <c r="X495" s="6" t="e">
        <v>#REF!</v>
      </c>
      <c r="Z495" s="62">
        <f>SUM(AA495:AO495)</f>
        <v>50568335.216347843</v>
      </c>
      <c r="AA495" s="55">
        <v>24697562.248763699</v>
      </c>
      <c r="AB495" s="55">
        <v>11897597.152070301</v>
      </c>
      <c r="AC495" s="55">
        <v>7265900.40743131</v>
      </c>
      <c r="AD495" s="55">
        <v>0</v>
      </c>
      <c r="AE495" s="55">
        <v>0</v>
      </c>
      <c r="AF495" s="55"/>
      <c r="AG495" s="55">
        <v>797695.32124425797</v>
      </c>
      <c r="AH495" s="55">
        <v>0</v>
      </c>
      <c r="AI495" s="55">
        <v>0</v>
      </c>
      <c r="AJ495" s="55">
        <v>0</v>
      </c>
      <c r="AK495" s="55">
        <v>0</v>
      </c>
      <c r="AL495" s="55">
        <v>0</v>
      </c>
      <c r="AM495" s="55">
        <v>4427300.2092594001</v>
      </c>
      <c r="AN495" s="63">
        <v>505683.35216347902</v>
      </c>
      <c r="AO495" s="64">
        <v>976596.52541539504</v>
      </c>
      <c r="AP495" s="61">
        <f>+N495-'Приложение №2'!E495</f>
        <v>1.2556910514831543E-3</v>
      </c>
      <c r="AQ495" s="1">
        <v>45757.05</v>
      </c>
      <c r="AR495" s="3">
        <f>+(K495*10.5+L495*21)*12*0.85</f>
        <v>529245.36</v>
      </c>
      <c r="AS495" s="3">
        <f>+(K495*10.5+L495*21)*12*30</f>
        <v>18679248</v>
      </c>
      <c r="AT495" s="6">
        <f t="shared" si="152"/>
        <v>-18679248</v>
      </c>
      <c r="AU495" s="6" t="e">
        <v>#REF!</v>
      </c>
      <c r="AV495" s="6" t="e">
        <v>#REF!</v>
      </c>
      <c r="AW495" s="110">
        <f t="shared" si="149"/>
        <v>26824385.29874431</v>
      </c>
      <c r="AX495" s="55">
        <v>14432823.3023171</v>
      </c>
      <c r="AY495" s="55">
        <v>7108989.1508563198</v>
      </c>
      <c r="AZ495" s="55">
        <v>4341482.2764144</v>
      </c>
      <c r="BA495" s="55">
        <v>0</v>
      </c>
      <c r="BB495" s="55">
        <v>0</v>
      </c>
      <c r="BC495" s="55">
        <v>0</v>
      </c>
      <c r="BD495" s="55">
        <v>432862.10529119999</v>
      </c>
      <c r="BE495" s="55">
        <v>0</v>
      </c>
      <c r="BF495" s="55">
        <v>0</v>
      </c>
      <c r="BG495" s="55">
        <v>0</v>
      </c>
      <c r="BH495" s="55">
        <v>0</v>
      </c>
      <c r="BI495" s="55">
        <v>0</v>
      </c>
      <c r="BJ495" s="55"/>
      <c r="BK495" s="63"/>
      <c r="BL495" s="64">
        <v>508228.46386528801</v>
      </c>
      <c r="BM495" s="110">
        <f t="shared" si="150"/>
        <v>26824385.29874431</v>
      </c>
      <c r="BN495" s="55">
        <v>14432823.3023171</v>
      </c>
      <c r="BO495" s="55">
        <v>7108989.1508563198</v>
      </c>
      <c r="BP495" s="55">
        <v>4341482.2764144</v>
      </c>
      <c r="BQ495" s="55">
        <v>0</v>
      </c>
      <c r="BR495" s="55">
        <v>0</v>
      </c>
      <c r="BS495" s="55">
        <v>0</v>
      </c>
      <c r="BT495" s="55">
        <v>432862.10529119999</v>
      </c>
      <c r="BU495" s="55">
        <v>0</v>
      </c>
      <c r="BV495" s="55">
        <v>0</v>
      </c>
      <c r="BW495" s="55">
        <v>0</v>
      </c>
      <c r="BX495" s="55">
        <v>0</v>
      </c>
      <c r="BY495" s="55">
        <v>0</v>
      </c>
      <c r="BZ495" s="55"/>
      <c r="CA495" s="63"/>
      <c r="CB495" s="64">
        <v>508228.46386528801</v>
      </c>
      <c r="CD495" s="75"/>
      <c r="CE495" s="6"/>
    </row>
    <row r="496" spans="1:149" s="69" customFormat="1" x14ac:dyDescent="0.25">
      <c r="A496" s="105">
        <f t="shared" si="151"/>
        <v>474</v>
      </c>
      <c r="B496" s="107">
        <f t="shared" si="148"/>
        <v>15</v>
      </c>
      <c r="C496" s="53" t="s">
        <v>518</v>
      </c>
      <c r="D496" s="53" t="s">
        <v>519</v>
      </c>
      <c r="E496" s="54" t="s">
        <v>429</v>
      </c>
      <c r="F496" s="54"/>
      <c r="G496" s="54" t="s">
        <v>64</v>
      </c>
      <c r="H496" s="54" t="s">
        <v>101</v>
      </c>
      <c r="I496" s="54" t="s">
        <v>184</v>
      </c>
      <c r="J496" s="55">
        <v>3731.6</v>
      </c>
      <c r="K496" s="55">
        <v>3131.6</v>
      </c>
      <c r="L496" s="55">
        <v>600</v>
      </c>
      <c r="M496" s="56">
        <v>135</v>
      </c>
      <c r="N496" s="112">
        <v>32650895.289999999</v>
      </c>
      <c r="O496" s="55">
        <v>0</v>
      </c>
      <c r="P496" s="62">
        <v>1120717.45</v>
      </c>
      <c r="Q496" s="63"/>
      <c r="R496" s="62">
        <v>441823.2</v>
      </c>
      <c r="S496" s="62">
        <v>15593760</v>
      </c>
      <c r="T496" s="62">
        <v>15494594.640000001</v>
      </c>
      <c r="U496" s="55">
        <v>9389.2312832000007</v>
      </c>
      <c r="V496" s="55">
        <v>9389.2312832000007</v>
      </c>
      <c r="W496" s="59">
        <v>2024</v>
      </c>
      <c r="X496" s="69">
        <v>812156.34</v>
      </c>
      <c r="Y496" s="69">
        <f t="shared" ref="Y496:Y501" si="153">+(K496*9.1+L496*18.19)*12</f>
        <v>472938.72</v>
      </c>
      <c r="AA496" s="70" t="e">
        <v>#REF!</v>
      </c>
      <c r="AD496" s="70" t="e">
        <v>#REF!</v>
      </c>
      <c r="AP496" s="61">
        <f>+N496-'Приложение №2'!E496</f>
        <v>-4.6252794563770294E-3</v>
      </c>
      <c r="AQ496" s="114">
        <f>1031781.22</f>
        <v>1031781.22</v>
      </c>
      <c r="AR496" s="3">
        <f t="shared" ref="AR496:AR501" si="154">+(K496*10+L496*20)*12*0.85</f>
        <v>441823.2</v>
      </c>
      <c r="AS496" s="3">
        <f t="shared" ref="AS496:AS501" si="155">+(K496*10+L496*20)*12*30</f>
        <v>15593760</v>
      </c>
      <c r="AT496" s="6">
        <f t="shared" si="152"/>
        <v>0</v>
      </c>
      <c r="AU496" s="6" t="e">
        <v>#REF!</v>
      </c>
      <c r="AV496" s="6" t="e">
        <v>#REF!</v>
      </c>
      <c r="AW496" s="62">
        <f t="shared" si="149"/>
        <v>35036855.456389166</v>
      </c>
      <c r="AX496" s="55"/>
      <c r="AY496" s="55"/>
      <c r="AZ496" s="55"/>
      <c r="BA496" s="55"/>
      <c r="BB496" s="55"/>
      <c r="BC496" s="55"/>
      <c r="BD496" s="55"/>
      <c r="BE496" s="55"/>
      <c r="BF496" s="55">
        <v>13204189.2203006</v>
      </c>
      <c r="BG496" s="55"/>
      <c r="BH496" s="55">
        <v>18418596.889079701</v>
      </c>
      <c r="BI496" s="55">
        <v>0</v>
      </c>
      <c r="BJ496" s="55">
        <v>2372174.5071999999</v>
      </c>
      <c r="BK496" s="63">
        <v>350368.55456389103</v>
      </c>
      <c r="BL496" s="64">
        <v>691526.28524498001</v>
      </c>
      <c r="BM496" s="62">
        <f t="shared" si="150"/>
        <v>35036855.456389166</v>
      </c>
      <c r="BN496" s="55"/>
      <c r="BO496" s="55"/>
      <c r="BP496" s="55"/>
      <c r="BQ496" s="55"/>
      <c r="BR496" s="55"/>
      <c r="BS496" s="55"/>
      <c r="BT496" s="55"/>
      <c r="BU496" s="55"/>
      <c r="BV496" s="55">
        <v>13204189.2203006</v>
      </c>
      <c r="BW496" s="55"/>
      <c r="BX496" s="55">
        <v>18418596.889079701</v>
      </c>
      <c r="BY496" s="55">
        <v>0</v>
      </c>
      <c r="BZ496" s="55">
        <v>2372174.5071999999</v>
      </c>
      <c r="CA496" s="63">
        <v>350368.55456389103</v>
      </c>
      <c r="CB496" s="64">
        <v>691526.28524498001</v>
      </c>
      <c r="CD496" s="75"/>
      <c r="CE496" s="6"/>
      <c r="CF496" s="116"/>
    </row>
    <row r="497" spans="1:84" s="69" customFormat="1" x14ac:dyDescent="0.25">
      <c r="A497" s="105">
        <f t="shared" si="151"/>
        <v>475</v>
      </c>
      <c r="B497" s="107">
        <f t="shared" si="148"/>
        <v>16</v>
      </c>
      <c r="C497" s="53" t="s">
        <v>518</v>
      </c>
      <c r="D497" s="53" t="s">
        <v>520</v>
      </c>
      <c r="E497" s="54" t="s">
        <v>431</v>
      </c>
      <c r="F497" s="54"/>
      <c r="G497" s="54" t="s">
        <v>64</v>
      </c>
      <c r="H497" s="54" t="s">
        <v>101</v>
      </c>
      <c r="I497" s="54" t="s">
        <v>101</v>
      </c>
      <c r="J497" s="55">
        <v>4283</v>
      </c>
      <c r="K497" s="55">
        <v>3860.1</v>
      </c>
      <c r="L497" s="55">
        <v>409</v>
      </c>
      <c r="M497" s="56">
        <v>142</v>
      </c>
      <c r="N497" s="112">
        <v>36790282.18</v>
      </c>
      <c r="O497" s="55">
        <v>0</v>
      </c>
      <c r="P497" s="62">
        <v>2286453.04</v>
      </c>
      <c r="Q497" s="63"/>
      <c r="R497" s="62">
        <v>1815383.59</v>
      </c>
      <c r="S497" s="62">
        <v>16841160</v>
      </c>
      <c r="T497" s="62">
        <v>15847285.550000001</v>
      </c>
      <c r="U497" s="55">
        <v>4453.3869030006299</v>
      </c>
      <c r="V497" s="55">
        <v>4453.3869030006299</v>
      </c>
      <c r="W497" s="59">
        <v>2024</v>
      </c>
      <c r="X497" s="69">
        <v>1086066.79</v>
      </c>
      <c r="Y497" s="69">
        <f t="shared" si="153"/>
        <v>510799.43999999994</v>
      </c>
      <c r="AA497" s="70" t="e">
        <v>#REF!</v>
      </c>
      <c r="AD497" s="70" t="e">
        <v>#REF!</v>
      </c>
      <c r="AP497" s="61" t="e">
        <f>+N497-#REF!</f>
        <v>#REF!</v>
      </c>
      <c r="AQ497" s="69">
        <v>1338217.3899999999</v>
      </c>
      <c r="AR497" s="3">
        <f t="shared" si="154"/>
        <v>477166.2</v>
      </c>
      <c r="AS497" s="3">
        <f t="shared" si="155"/>
        <v>16841160</v>
      </c>
      <c r="AT497" s="6">
        <f t="shared" si="152"/>
        <v>0</v>
      </c>
      <c r="AU497" s="6" t="e">
        <v>#REF!</v>
      </c>
      <c r="AV497" s="6" t="e">
        <v>#REF!</v>
      </c>
      <c r="AW497" s="62">
        <f t="shared" si="149"/>
        <v>19011954.027682729</v>
      </c>
      <c r="AX497" s="55"/>
      <c r="AY497" s="55"/>
      <c r="AZ497" s="55"/>
      <c r="BA497" s="55"/>
      <c r="BB497" s="55"/>
      <c r="BC497" s="55"/>
      <c r="BD497" s="55"/>
      <c r="BE497" s="55"/>
      <c r="BF497" s="55">
        <v>15127234.2017045</v>
      </c>
      <c r="BG497" s="55"/>
      <c r="BH497" s="55"/>
      <c r="BI497" s="55">
        <v>0</v>
      </c>
      <c r="BJ497" s="55">
        <v>2692288.6746999999</v>
      </c>
      <c r="BK497" s="63">
        <v>400835.672711091</v>
      </c>
      <c r="BL497" s="111">
        <v>791595.47856713797</v>
      </c>
      <c r="BM497" s="62">
        <f t="shared" si="150"/>
        <v>19011954.027682729</v>
      </c>
      <c r="BN497" s="55"/>
      <c r="BO497" s="55"/>
      <c r="BP497" s="55"/>
      <c r="BQ497" s="55"/>
      <c r="BR497" s="55"/>
      <c r="BS497" s="55"/>
      <c r="BT497" s="55"/>
      <c r="BU497" s="55"/>
      <c r="BV497" s="55">
        <v>15127234.2017045</v>
      </c>
      <c r="BW497" s="55"/>
      <c r="BX497" s="55"/>
      <c r="BY497" s="55">
        <v>0</v>
      </c>
      <c r="BZ497" s="55">
        <v>2692288.6746999999</v>
      </c>
      <c r="CA497" s="63">
        <v>400835.672711091</v>
      </c>
      <c r="CB497" s="64">
        <v>791595.47856713797</v>
      </c>
      <c r="CD497" s="75"/>
      <c r="CE497" s="6"/>
      <c r="CF497" s="116"/>
    </row>
    <row r="498" spans="1:84" s="69" customFormat="1" x14ac:dyDescent="0.25">
      <c r="A498" s="105">
        <f t="shared" si="151"/>
        <v>476</v>
      </c>
      <c r="B498" s="107">
        <f t="shared" si="148"/>
        <v>17</v>
      </c>
      <c r="C498" s="53" t="s">
        <v>518</v>
      </c>
      <c r="D498" s="53" t="s">
        <v>521</v>
      </c>
      <c r="E498" s="54" t="s">
        <v>425</v>
      </c>
      <c r="F498" s="54"/>
      <c r="G498" s="54" t="s">
        <v>64</v>
      </c>
      <c r="H498" s="54" t="s">
        <v>101</v>
      </c>
      <c r="I498" s="54" t="s">
        <v>145</v>
      </c>
      <c r="J498" s="55">
        <v>3806</v>
      </c>
      <c r="K498" s="55">
        <v>3356.9</v>
      </c>
      <c r="L498" s="55">
        <v>351</v>
      </c>
      <c r="M498" s="56">
        <v>104</v>
      </c>
      <c r="N498" s="112">
        <v>30206844.969999999</v>
      </c>
      <c r="O498" s="55">
        <v>0</v>
      </c>
      <c r="P498" s="62">
        <v>1975331.28</v>
      </c>
      <c r="Q498" s="63"/>
      <c r="R498" s="62">
        <v>1723427.12</v>
      </c>
      <c r="S498" s="62">
        <v>14612040</v>
      </c>
      <c r="T498" s="62">
        <v>11896046.57</v>
      </c>
      <c r="U498" s="55">
        <v>4453.3869030200003</v>
      </c>
      <c r="V498" s="55">
        <v>4453.3869030200003</v>
      </c>
      <c r="W498" s="59">
        <v>2024</v>
      </c>
      <c r="X498" s="69">
        <v>1052695.6299999999</v>
      </c>
      <c r="Y498" s="69">
        <f t="shared" si="153"/>
        <v>443189.76000000001</v>
      </c>
      <c r="AA498" s="70" t="e">
        <v>#REF!</v>
      </c>
      <c r="AD498" s="70" t="e">
        <v>#REF!</v>
      </c>
      <c r="AP498" s="61" t="e">
        <f>+N498-#REF!</f>
        <v>#REF!</v>
      </c>
      <c r="AQ498" s="69">
        <v>1309419.32</v>
      </c>
      <c r="AR498" s="3">
        <f t="shared" si="154"/>
        <v>414007.8</v>
      </c>
      <c r="AS498" s="3">
        <f t="shared" si="155"/>
        <v>14612040</v>
      </c>
      <c r="AT498" s="6">
        <f t="shared" si="152"/>
        <v>0</v>
      </c>
      <c r="AU498" s="6" t="e">
        <v>#REF!</v>
      </c>
      <c r="AV498" s="6" t="e">
        <v>#REF!</v>
      </c>
      <c r="AW498" s="62">
        <f t="shared" si="149"/>
        <v>16512713.29770782</v>
      </c>
      <c r="AX498" s="55"/>
      <c r="AY498" s="55"/>
      <c r="AZ498" s="55"/>
      <c r="BA498" s="55"/>
      <c r="BB498" s="55"/>
      <c r="BC498" s="55"/>
      <c r="BD498" s="55"/>
      <c r="BE498" s="55"/>
      <c r="BF498" s="55">
        <v>13110233.174834</v>
      </c>
      <c r="BG498" s="55"/>
      <c r="BH498" s="55"/>
      <c r="BI498" s="55">
        <v>0</v>
      </c>
      <c r="BJ498" s="55">
        <v>2367423.2642999999</v>
      </c>
      <c r="BK498" s="63">
        <v>348143.30674977298</v>
      </c>
      <c r="BL498" s="111">
        <v>686913.55182404898</v>
      </c>
      <c r="BM498" s="62">
        <f t="shared" si="150"/>
        <v>16512713.29770782</v>
      </c>
      <c r="BN498" s="55"/>
      <c r="BO498" s="55"/>
      <c r="BP498" s="55"/>
      <c r="BQ498" s="55"/>
      <c r="BR498" s="55"/>
      <c r="BS498" s="55"/>
      <c r="BT498" s="55"/>
      <c r="BU498" s="55"/>
      <c r="BV498" s="55">
        <v>13110233.174834</v>
      </c>
      <c r="BW498" s="55"/>
      <c r="BX498" s="55"/>
      <c r="BY498" s="55">
        <v>0</v>
      </c>
      <c r="BZ498" s="55">
        <v>2367423.2642999999</v>
      </c>
      <c r="CA498" s="63">
        <v>348143.30674977298</v>
      </c>
      <c r="CB498" s="64">
        <v>686913.55182404898</v>
      </c>
      <c r="CD498" s="75"/>
      <c r="CE498" s="6"/>
      <c r="CF498" s="116"/>
    </row>
    <row r="499" spans="1:84" s="69" customFormat="1" x14ac:dyDescent="0.25">
      <c r="A499" s="105">
        <f t="shared" si="151"/>
        <v>477</v>
      </c>
      <c r="B499" s="107">
        <f t="shared" si="148"/>
        <v>18</v>
      </c>
      <c r="C499" s="53" t="s">
        <v>518</v>
      </c>
      <c r="D499" s="53" t="s">
        <v>522</v>
      </c>
      <c r="E499" s="54" t="s">
        <v>263</v>
      </c>
      <c r="F499" s="54"/>
      <c r="G499" s="54" t="s">
        <v>64</v>
      </c>
      <c r="H499" s="54" t="s">
        <v>101</v>
      </c>
      <c r="I499" s="54" t="s">
        <v>145</v>
      </c>
      <c r="J499" s="55">
        <v>3860</v>
      </c>
      <c r="K499" s="55">
        <v>3379.8</v>
      </c>
      <c r="L499" s="55">
        <v>405</v>
      </c>
      <c r="M499" s="56">
        <v>121</v>
      </c>
      <c r="N499" s="112">
        <v>33112299.329999998</v>
      </c>
      <c r="O499" s="55">
        <v>0</v>
      </c>
      <c r="P499" s="62">
        <v>1423763.7</v>
      </c>
      <c r="Q499" s="63"/>
      <c r="R499" s="62">
        <v>427359.6</v>
      </c>
      <c r="S499" s="62">
        <v>15083280</v>
      </c>
      <c r="T499" s="62">
        <v>16177896.029999999</v>
      </c>
      <c r="U499" s="55">
        <v>9389.2312832000007</v>
      </c>
      <c r="V499" s="55">
        <v>9389.2312832000007</v>
      </c>
      <c r="W499" s="59">
        <v>2024</v>
      </c>
      <c r="X499" s="69">
        <v>866092.98</v>
      </c>
      <c r="Y499" s="69">
        <f t="shared" si="153"/>
        <v>457477.56000000006</v>
      </c>
      <c r="AA499" s="70" t="e">
        <v>#REF!</v>
      </c>
      <c r="AD499" s="70" t="e">
        <v>#REF!</v>
      </c>
      <c r="AP499" s="61">
        <f>+N499-'Приложение №2'!E499</f>
        <v>-3.4488067030906677E-3</v>
      </c>
      <c r="AQ499" s="114">
        <f>1091644.43</f>
        <v>1091644.43</v>
      </c>
      <c r="AR499" s="3">
        <f t="shared" si="154"/>
        <v>427359.6</v>
      </c>
      <c r="AS499" s="3">
        <f t="shared" si="155"/>
        <v>15083280</v>
      </c>
      <c r="AT499" s="6">
        <f t="shared" si="152"/>
        <v>0</v>
      </c>
      <c r="AU499" s="6" t="e">
        <v>#REF!</v>
      </c>
      <c r="AV499" s="6" t="e">
        <v>#REF!</v>
      </c>
      <c r="AW499" s="62">
        <f t="shared" si="149"/>
        <v>35536362.560655363</v>
      </c>
      <c r="AX499" s="55"/>
      <c r="AY499" s="55"/>
      <c r="AZ499" s="55"/>
      <c r="BA499" s="55"/>
      <c r="BB499" s="55"/>
      <c r="BC499" s="55"/>
      <c r="BD499" s="55"/>
      <c r="BE499" s="55"/>
      <c r="BF499" s="55">
        <v>13388581.5080877</v>
      </c>
      <c r="BG499" s="55"/>
      <c r="BH499" s="55">
        <v>18681183.810105301</v>
      </c>
      <c r="BI499" s="55">
        <v>0</v>
      </c>
      <c r="BJ499" s="55">
        <v>2409932.8015999999</v>
      </c>
      <c r="BK499" s="63">
        <v>355363.62560655398</v>
      </c>
      <c r="BL499" s="64">
        <v>701300.81525580399</v>
      </c>
      <c r="BM499" s="62">
        <f t="shared" si="150"/>
        <v>35536362.560655363</v>
      </c>
      <c r="BN499" s="55"/>
      <c r="BO499" s="55"/>
      <c r="BP499" s="55"/>
      <c r="BQ499" s="55"/>
      <c r="BR499" s="55"/>
      <c r="BS499" s="55"/>
      <c r="BT499" s="55"/>
      <c r="BU499" s="55"/>
      <c r="BV499" s="55">
        <v>13388581.5080877</v>
      </c>
      <c r="BW499" s="55"/>
      <c r="BX499" s="55">
        <v>18681183.810105301</v>
      </c>
      <c r="BY499" s="55">
        <v>0</v>
      </c>
      <c r="BZ499" s="55">
        <v>2409932.8015999999</v>
      </c>
      <c r="CA499" s="63">
        <v>355363.62560655398</v>
      </c>
      <c r="CB499" s="64">
        <v>701300.81525580399</v>
      </c>
      <c r="CD499" s="75"/>
      <c r="CE499" s="6"/>
      <c r="CF499" s="116"/>
    </row>
    <row r="500" spans="1:84" s="69" customFormat="1" x14ac:dyDescent="0.25">
      <c r="A500" s="105">
        <f t="shared" si="151"/>
        <v>478</v>
      </c>
      <c r="B500" s="107">
        <f t="shared" si="148"/>
        <v>19</v>
      </c>
      <c r="C500" s="53" t="s">
        <v>518</v>
      </c>
      <c r="D500" s="53" t="s">
        <v>523</v>
      </c>
      <c r="E500" s="54" t="s">
        <v>270</v>
      </c>
      <c r="F500" s="54"/>
      <c r="G500" s="54" t="s">
        <v>64</v>
      </c>
      <c r="H500" s="54" t="s">
        <v>101</v>
      </c>
      <c r="I500" s="54" t="s">
        <v>145</v>
      </c>
      <c r="J500" s="55">
        <v>3821</v>
      </c>
      <c r="K500" s="55">
        <v>3372.2</v>
      </c>
      <c r="L500" s="55">
        <v>340</v>
      </c>
      <c r="M500" s="56">
        <v>99</v>
      </c>
      <c r="N500" s="112">
        <v>32478644.079999998</v>
      </c>
      <c r="O500" s="55">
        <v>0</v>
      </c>
      <c r="P500" s="62">
        <v>1428537.27</v>
      </c>
      <c r="Q500" s="63"/>
      <c r="R500" s="62">
        <v>413324.4</v>
      </c>
      <c r="S500" s="62">
        <v>14587920</v>
      </c>
      <c r="T500" s="62">
        <v>16048862.41</v>
      </c>
      <c r="U500" s="55">
        <v>9389.2312832000007</v>
      </c>
      <c r="V500" s="55">
        <v>9389.2312832000007</v>
      </c>
      <c r="W500" s="59">
        <v>2024</v>
      </c>
      <c r="X500" s="69">
        <v>992414.38</v>
      </c>
      <c r="Y500" s="69">
        <f t="shared" si="153"/>
        <v>442459.43999999994</v>
      </c>
      <c r="AA500" s="70" t="e">
        <v>#REF!</v>
      </c>
      <c r="AD500" s="70" t="e">
        <v>#REF!</v>
      </c>
      <c r="AP500" s="61">
        <f>+N500-'Приложение №2'!E500</f>
        <v>1.5999339520931244E-3</v>
      </c>
      <c r="AQ500" s="114">
        <f>1248620.15</f>
        <v>1248620.1499999999</v>
      </c>
      <c r="AR500" s="3">
        <f t="shared" si="154"/>
        <v>413324.39999999997</v>
      </c>
      <c r="AS500" s="3">
        <f t="shared" si="155"/>
        <v>14587920</v>
      </c>
      <c r="AT500" s="6">
        <f t="shared" si="152"/>
        <v>0</v>
      </c>
      <c r="AU500" s="6" t="e">
        <v>#REF!</v>
      </c>
      <c r="AV500" s="6" t="e">
        <v>#REF!</v>
      </c>
      <c r="AW500" s="62">
        <f t="shared" si="149"/>
        <v>34854704.369495012</v>
      </c>
      <c r="AX500" s="55"/>
      <c r="AY500" s="55"/>
      <c r="AZ500" s="55"/>
      <c r="BA500" s="55"/>
      <c r="BB500" s="55"/>
      <c r="BC500" s="55"/>
      <c r="BD500" s="55"/>
      <c r="BE500" s="55"/>
      <c r="BF500" s="55">
        <v>13126738.2667841</v>
      </c>
      <c r="BG500" s="55"/>
      <c r="BH500" s="55">
        <v>18322841.508104201</v>
      </c>
      <c r="BI500" s="55">
        <v>0</v>
      </c>
      <c r="BJ500" s="55">
        <v>2368838.9374000002</v>
      </c>
      <c r="BK500" s="63">
        <v>348547.04369495</v>
      </c>
      <c r="BL500" s="64">
        <v>687738.613511762</v>
      </c>
      <c r="BM500" s="62">
        <f t="shared" si="150"/>
        <v>34854704.369495012</v>
      </c>
      <c r="BN500" s="55"/>
      <c r="BO500" s="55"/>
      <c r="BP500" s="55"/>
      <c r="BQ500" s="55"/>
      <c r="BR500" s="55"/>
      <c r="BS500" s="55"/>
      <c r="BT500" s="55"/>
      <c r="BU500" s="55"/>
      <c r="BV500" s="55">
        <v>13126738.2667841</v>
      </c>
      <c r="BW500" s="55"/>
      <c r="BX500" s="55">
        <v>18322841.508104201</v>
      </c>
      <c r="BY500" s="55">
        <v>0</v>
      </c>
      <c r="BZ500" s="55">
        <v>2368838.9374000002</v>
      </c>
      <c r="CA500" s="63">
        <v>348547.04369495</v>
      </c>
      <c r="CB500" s="64">
        <v>687738.613511762</v>
      </c>
      <c r="CD500" s="75"/>
      <c r="CE500" s="6"/>
      <c r="CF500" s="116"/>
    </row>
    <row r="501" spans="1:84" s="69" customFormat="1" x14ac:dyDescent="0.25">
      <c r="A501" s="105">
        <f t="shared" si="151"/>
        <v>479</v>
      </c>
      <c r="B501" s="107">
        <f t="shared" si="148"/>
        <v>20</v>
      </c>
      <c r="C501" s="53" t="s">
        <v>518</v>
      </c>
      <c r="D501" s="53" t="s">
        <v>524</v>
      </c>
      <c r="E501" s="54" t="s">
        <v>525</v>
      </c>
      <c r="F501" s="54"/>
      <c r="G501" s="54" t="s">
        <v>64</v>
      </c>
      <c r="H501" s="54" t="s">
        <v>101</v>
      </c>
      <c r="I501" s="54" t="s">
        <v>102</v>
      </c>
      <c r="J501" s="55">
        <v>2573</v>
      </c>
      <c r="K501" s="55">
        <v>2123.1</v>
      </c>
      <c r="L501" s="55">
        <v>269</v>
      </c>
      <c r="M501" s="56">
        <v>69</v>
      </c>
      <c r="N501" s="112">
        <v>20993417.59</v>
      </c>
      <c r="O501" s="55">
        <v>0</v>
      </c>
      <c r="P501" s="62">
        <v>935511.45</v>
      </c>
      <c r="Q501" s="63"/>
      <c r="R501" s="62">
        <v>271432.2</v>
      </c>
      <c r="S501" s="62">
        <v>9579960</v>
      </c>
      <c r="T501" s="62">
        <v>10206513.939999999</v>
      </c>
      <c r="U501" s="55">
        <v>9414.0825435348797</v>
      </c>
      <c r="V501" s="55">
        <v>9414.0825435348797</v>
      </c>
      <c r="W501" s="59">
        <v>2024</v>
      </c>
      <c r="X501" s="69">
        <v>606999.5</v>
      </c>
      <c r="Y501" s="69">
        <f t="shared" si="153"/>
        <v>290559.83999999997</v>
      </c>
      <c r="AA501" s="70" t="e">
        <v>#REF!</v>
      </c>
      <c r="AD501" s="70" t="e">
        <v>#REF!</v>
      </c>
      <c r="AP501" s="61">
        <f>+N501-'Приложение №2'!E501</f>
        <v>4.8356130719184875E-3</v>
      </c>
      <c r="AQ501" s="114">
        <f>770087.63</f>
        <v>770087.63</v>
      </c>
      <c r="AR501" s="3">
        <f t="shared" si="154"/>
        <v>271432.2</v>
      </c>
      <c r="AS501" s="3">
        <f t="shared" si="155"/>
        <v>9579960</v>
      </c>
      <c r="AT501" s="6">
        <f t="shared" si="152"/>
        <v>0</v>
      </c>
      <c r="AU501" s="6" t="e">
        <v>#REF!</v>
      </c>
      <c r="AV501" s="6" t="e">
        <v>#REF!</v>
      </c>
      <c r="AW501" s="62">
        <f t="shared" si="149"/>
        <v>22519426.852389812</v>
      </c>
      <c r="AX501" s="55"/>
      <c r="AY501" s="55"/>
      <c r="AZ501" s="55"/>
      <c r="BA501" s="55"/>
      <c r="BB501" s="55"/>
      <c r="BC501" s="55"/>
      <c r="BD501" s="55"/>
      <c r="BE501" s="55"/>
      <c r="BF501" s="55">
        <v>8451044.9299999997</v>
      </c>
      <c r="BG501" s="55"/>
      <c r="BH501" s="55">
        <v>11807033.3418286</v>
      </c>
      <c r="BI501" s="55">
        <v>0</v>
      </c>
      <c r="BJ501" s="55">
        <v>1595045.6157</v>
      </c>
      <c r="BK501" s="63">
        <v>224599.801525427</v>
      </c>
      <c r="BL501" s="64">
        <v>441703.16333578998</v>
      </c>
      <c r="BM501" s="62">
        <f t="shared" si="150"/>
        <v>22519426.852389812</v>
      </c>
      <c r="BN501" s="55"/>
      <c r="BO501" s="55"/>
      <c r="BP501" s="55"/>
      <c r="BQ501" s="55"/>
      <c r="BR501" s="55"/>
      <c r="BS501" s="55"/>
      <c r="BT501" s="55"/>
      <c r="BU501" s="55"/>
      <c r="BV501" s="55">
        <v>8451044.9299999997</v>
      </c>
      <c r="BW501" s="55"/>
      <c r="BX501" s="55">
        <v>11807033.3418286</v>
      </c>
      <c r="BY501" s="55">
        <v>0</v>
      </c>
      <c r="BZ501" s="55">
        <v>1595045.6157</v>
      </c>
      <c r="CA501" s="63">
        <v>224599.801525427</v>
      </c>
      <c r="CB501" s="64">
        <v>441703.16333578998</v>
      </c>
      <c r="CD501" s="75"/>
      <c r="CE501" s="6"/>
      <c r="CF501" s="116"/>
    </row>
    <row r="502" spans="1:84" x14ac:dyDescent="0.25">
      <c r="A502" s="105">
        <f t="shared" si="151"/>
        <v>480</v>
      </c>
      <c r="B502" s="107">
        <f t="shared" si="148"/>
        <v>21</v>
      </c>
      <c r="C502" s="53" t="s">
        <v>75</v>
      </c>
      <c r="D502" s="53" t="s">
        <v>77</v>
      </c>
      <c r="E502" s="54">
        <v>1996</v>
      </c>
      <c r="F502" s="54">
        <v>1996</v>
      </c>
      <c r="G502" s="54" t="s">
        <v>64</v>
      </c>
      <c r="H502" s="54">
        <v>9</v>
      </c>
      <c r="I502" s="54">
        <v>2</v>
      </c>
      <c r="J502" s="55">
        <v>5868.8</v>
      </c>
      <c r="K502" s="55">
        <v>4891.1000000000004</v>
      </c>
      <c r="L502" s="55">
        <v>103.4</v>
      </c>
      <c r="M502" s="56">
        <v>176</v>
      </c>
      <c r="N502" s="112">
        <v>12074742.51</v>
      </c>
      <c r="O502" s="55"/>
      <c r="P502" s="63"/>
      <c r="Q502" s="63"/>
      <c r="R502" s="62">
        <v>720897.8</v>
      </c>
      <c r="S502" s="62">
        <v>11353844.710000001</v>
      </c>
      <c r="T502" s="55"/>
      <c r="U502" s="63">
        <v>2417.6078704430502</v>
      </c>
      <c r="V502" s="63">
        <v>2417.6078704430502</v>
      </c>
      <c r="W502" s="59">
        <v>2024</v>
      </c>
      <c r="X502" s="6" t="e">
        <v>#REF!</v>
      </c>
      <c r="Z502" s="62">
        <f t="shared" ref="Z502:Z508" si="156">SUM(AA502:AO502)</f>
        <v>26916272.679462217</v>
      </c>
      <c r="AA502" s="55">
        <v>11954408.568709699</v>
      </c>
      <c r="AB502" s="55">
        <v>4782903.5702124899</v>
      </c>
      <c r="AC502" s="55">
        <v>3532642.50892779</v>
      </c>
      <c r="AD502" s="55">
        <v>2257520.5141524901</v>
      </c>
      <c r="AE502" s="55">
        <v>0</v>
      </c>
      <c r="AF502" s="55"/>
      <c r="AG502" s="55">
        <v>531117.68749178003</v>
      </c>
      <c r="AH502" s="55">
        <v>0</v>
      </c>
      <c r="AI502" s="55"/>
      <c r="AJ502" s="55">
        <v>0</v>
      </c>
      <c r="AK502" s="55">
        <v>0</v>
      </c>
      <c r="AL502" s="55">
        <v>0</v>
      </c>
      <c r="AM502" s="55">
        <v>2917548.1015033401</v>
      </c>
      <c r="AN502" s="63">
        <v>321479.91337035998</v>
      </c>
      <c r="AO502" s="64">
        <v>618651.81509427296</v>
      </c>
      <c r="AP502" s="61">
        <f>+N502-'Приложение №2'!E502</f>
        <v>1.0722093284130096E-3</v>
      </c>
      <c r="AQ502" s="6">
        <f>3904489.21-317048.16</f>
        <v>3587441.05</v>
      </c>
      <c r="AR502" s="3">
        <f>+(K502*13.95+L502*23.65)*12*0.85</f>
        <v>720897.80099999998</v>
      </c>
      <c r="AS502" s="3">
        <f>+(K502*13.95+L502*23.65)*12*30-2665031.47</f>
        <v>22778420.330000002</v>
      </c>
      <c r="AT502" s="6">
        <f t="shared" si="152"/>
        <v>-11424575.620000001</v>
      </c>
      <c r="AU502" s="6"/>
      <c r="AV502" s="6"/>
      <c r="AW502" s="110">
        <f t="shared" si="149"/>
        <v>12074742.50892779</v>
      </c>
      <c r="AX502" s="55"/>
      <c r="AY502" s="55"/>
      <c r="AZ502" s="55">
        <v>3532642.50892779</v>
      </c>
      <c r="BA502" s="55"/>
      <c r="BB502" s="55">
        <v>0</v>
      </c>
      <c r="BC502" s="55"/>
      <c r="BD502" s="55"/>
      <c r="BE502" s="55">
        <v>8024927.0976</v>
      </c>
      <c r="BF502" s="55"/>
      <c r="BG502" s="55">
        <v>0</v>
      </c>
      <c r="BH502" s="55">
        <v>0</v>
      </c>
      <c r="BI502" s="55">
        <v>0</v>
      </c>
      <c r="BJ502" s="55">
        <v>256263</v>
      </c>
      <c r="BK502" s="63">
        <v>85421</v>
      </c>
      <c r="BL502" s="64">
        <v>175488.90239999999</v>
      </c>
      <c r="BM502" s="110">
        <f t="shared" si="150"/>
        <v>12074742.50892779</v>
      </c>
      <c r="BN502" s="55"/>
      <c r="BO502" s="55"/>
      <c r="BP502" s="55">
        <v>3532642.50892779</v>
      </c>
      <c r="BQ502" s="55"/>
      <c r="BR502" s="55">
        <v>0</v>
      </c>
      <c r="BS502" s="55"/>
      <c r="BT502" s="55"/>
      <c r="BU502" s="55">
        <v>8024927.0976</v>
      </c>
      <c r="BV502" s="55"/>
      <c r="BW502" s="55">
        <v>0</v>
      </c>
      <c r="BX502" s="55">
        <v>0</v>
      </c>
      <c r="BY502" s="55">
        <v>0</v>
      </c>
      <c r="BZ502" s="55">
        <v>256263</v>
      </c>
      <c r="CA502" s="63">
        <v>85421</v>
      </c>
      <c r="CB502" s="64">
        <v>175488.90239999999</v>
      </c>
      <c r="CD502" s="75"/>
      <c r="CE502" s="6"/>
    </row>
    <row r="503" spans="1:84" x14ac:dyDescent="0.25">
      <c r="A503" s="105">
        <f t="shared" si="151"/>
        <v>481</v>
      </c>
      <c r="B503" s="107">
        <f t="shared" si="148"/>
        <v>22</v>
      </c>
      <c r="C503" s="53" t="s">
        <v>75</v>
      </c>
      <c r="D503" s="53" t="s">
        <v>526</v>
      </c>
      <c r="E503" s="54">
        <v>1983</v>
      </c>
      <c r="F503" s="54">
        <v>2016</v>
      </c>
      <c r="G503" s="54" t="s">
        <v>64</v>
      </c>
      <c r="H503" s="54">
        <v>4</v>
      </c>
      <c r="I503" s="54">
        <v>6</v>
      </c>
      <c r="J503" s="55">
        <v>4031.7</v>
      </c>
      <c r="K503" s="55">
        <v>3532.1</v>
      </c>
      <c r="L503" s="55">
        <v>54.9</v>
      </c>
      <c r="M503" s="56">
        <v>133</v>
      </c>
      <c r="N503" s="112">
        <v>2774182.83</v>
      </c>
      <c r="O503" s="55"/>
      <c r="P503" s="63"/>
      <c r="Q503" s="63"/>
      <c r="R503" s="62">
        <v>1943422.02</v>
      </c>
      <c r="S503" s="62">
        <v>830760.81</v>
      </c>
      <c r="T503" s="63"/>
      <c r="U503" s="55">
        <v>773.39917206311304</v>
      </c>
      <c r="V503" s="55">
        <v>773.39917206311304</v>
      </c>
      <c r="W503" s="59">
        <v>2024</v>
      </c>
      <c r="X503" s="6" t="e">
        <v>#REF!</v>
      </c>
      <c r="Z503" s="62">
        <f t="shared" si="156"/>
        <v>3117059.3597644772</v>
      </c>
      <c r="AA503" s="55">
        <v>0</v>
      </c>
      <c r="AB503" s="55">
        <v>0</v>
      </c>
      <c r="AC503" s="55">
        <v>2714815.31762431</v>
      </c>
      <c r="AD503" s="55">
        <v>0</v>
      </c>
      <c r="AE503" s="55">
        <v>0</v>
      </c>
      <c r="AF503" s="55"/>
      <c r="AG503" s="55">
        <v>0</v>
      </c>
      <c r="AH503" s="55">
        <v>0</v>
      </c>
      <c r="AI503" s="55">
        <v>0</v>
      </c>
      <c r="AJ503" s="55">
        <v>0</v>
      </c>
      <c r="AK503" s="55">
        <v>0</v>
      </c>
      <c r="AL503" s="55">
        <v>0</v>
      </c>
      <c r="AM503" s="55">
        <v>311705.935976448</v>
      </c>
      <c r="AN503" s="63">
        <v>31170.593597644802</v>
      </c>
      <c r="AO503" s="64">
        <v>59367.5125660743</v>
      </c>
      <c r="AP503" s="61">
        <f>+N503-'Приложение №2'!E503</f>
        <v>-1.9038422033190727E-4</v>
      </c>
      <c r="AQ503" s="1">
        <v>1571948.22</v>
      </c>
      <c r="AR503" s="3">
        <f>+(K503*10+L503*20)*12*0.85</f>
        <v>371473.8</v>
      </c>
      <c r="AS503" s="3">
        <f>+(K503*10+L503*20)*12*30</f>
        <v>13110840</v>
      </c>
      <c r="AT503" s="6">
        <f t="shared" si="152"/>
        <v>-12280079.189999999</v>
      </c>
      <c r="AU503" s="6" t="e">
        <v>#REF!</v>
      </c>
      <c r="AV503" s="6" t="e">
        <v>#REF!</v>
      </c>
      <c r="AW503" s="62">
        <f t="shared" si="149"/>
        <v>2774182.8301903843</v>
      </c>
      <c r="AX503" s="55">
        <v>0</v>
      </c>
      <c r="AY503" s="55">
        <v>0</v>
      </c>
      <c r="AZ503" s="55">
        <v>2714815.31762431</v>
      </c>
      <c r="BA503" s="55">
        <v>0</v>
      </c>
      <c r="BB503" s="55">
        <v>0</v>
      </c>
      <c r="BC503" s="55"/>
      <c r="BD503" s="55"/>
      <c r="BE503" s="55">
        <v>0</v>
      </c>
      <c r="BF503" s="55">
        <v>0</v>
      </c>
      <c r="BG503" s="55">
        <v>0</v>
      </c>
      <c r="BH503" s="55">
        <v>0</v>
      </c>
      <c r="BI503" s="55">
        <v>0</v>
      </c>
      <c r="BJ503" s="55"/>
      <c r="BK503" s="63"/>
      <c r="BL503" s="64">
        <v>59367.5125660743</v>
      </c>
      <c r="BM503" s="62">
        <f t="shared" si="150"/>
        <v>2774182.8301903843</v>
      </c>
      <c r="BN503" s="55">
        <v>0</v>
      </c>
      <c r="BO503" s="55">
        <v>0</v>
      </c>
      <c r="BP503" s="55">
        <v>2714815.31762431</v>
      </c>
      <c r="BQ503" s="55">
        <v>0</v>
      </c>
      <c r="BR503" s="55">
        <v>0</v>
      </c>
      <c r="BS503" s="55"/>
      <c r="BT503" s="55"/>
      <c r="BU503" s="55">
        <v>0</v>
      </c>
      <c r="BV503" s="55">
        <v>0</v>
      </c>
      <c r="BW503" s="55">
        <v>0</v>
      </c>
      <c r="BX503" s="55">
        <v>0</v>
      </c>
      <c r="BY503" s="55">
        <v>0</v>
      </c>
      <c r="BZ503" s="55"/>
      <c r="CA503" s="63"/>
      <c r="CB503" s="64">
        <v>59367.5125660743</v>
      </c>
      <c r="CD503" s="75"/>
      <c r="CE503" s="6"/>
    </row>
    <row r="504" spans="1:84" x14ac:dyDescent="0.25">
      <c r="A504" s="105">
        <f t="shared" si="151"/>
        <v>482</v>
      </c>
      <c r="B504" s="107">
        <f t="shared" si="148"/>
        <v>23</v>
      </c>
      <c r="C504" s="53" t="s">
        <v>75</v>
      </c>
      <c r="D504" s="53" t="s">
        <v>527</v>
      </c>
      <c r="E504" s="54">
        <v>1986</v>
      </c>
      <c r="F504" s="54">
        <v>2017</v>
      </c>
      <c r="G504" s="54" t="s">
        <v>64</v>
      </c>
      <c r="H504" s="54">
        <v>9</v>
      </c>
      <c r="I504" s="54">
        <v>1</v>
      </c>
      <c r="J504" s="55">
        <v>3148.9</v>
      </c>
      <c r="K504" s="55">
        <v>2686.2</v>
      </c>
      <c r="L504" s="55">
        <v>0</v>
      </c>
      <c r="M504" s="56">
        <v>112</v>
      </c>
      <c r="N504" s="112">
        <v>31867227.379999999</v>
      </c>
      <c r="O504" s="55"/>
      <c r="P504" s="62">
        <v>3488737.65</v>
      </c>
      <c r="Q504" s="63"/>
      <c r="R504" s="62">
        <v>2267497.58</v>
      </c>
      <c r="S504" s="62">
        <v>13490096.4</v>
      </c>
      <c r="T504" s="62">
        <v>12620895.75</v>
      </c>
      <c r="U504" s="63">
        <v>11225.6769820139</v>
      </c>
      <c r="V504" s="63">
        <v>1187.2830200640001</v>
      </c>
      <c r="W504" s="59">
        <v>2024</v>
      </c>
      <c r="X504" s="6" t="e">
        <v>#REF!</v>
      </c>
      <c r="Z504" s="62">
        <f t="shared" si="156"/>
        <v>9697051.4923279248</v>
      </c>
      <c r="AA504" s="55">
        <v>6428049.5552968998</v>
      </c>
      <c r="AB504" s="55">
        <v>0</v>
      </c>
      <c r="AC504" s="55">
        <v>1899550.3606906701</v>
      </c>
      <c r="AD504" s="55">
        <v>0</v>
      </c>
      <c r="AE504" s="55">
        <v>0</v>
      </c>
      <c r="AF504" s="55"/>
      <c r="AG504" s="55">
        <v>285589.26987220597</v>
      </c>
      <c r="AH504" s="55">
        <v>0</v>
      </c>
      <c r="AI504" s="55">
        <v>0</v>
      </c>
      <c r="AJ504" s="55">
        <v>0</v>
      </c>
      <c r="AK504" s="55">
        <v>0</v>
      </c>
      <c r="AL504" s="55">
        <v>0</v>
      </c>
      <c r="AM504" s="55">
        <v>798538.78870673396</v>
      </c>
      <c r="AN504" s="63">
        <v>96970.514923279305</v>
      </c>
      <c r="AO504" s="64">
        <v>188353.002838135</v>
      </c>
      <c r="AP504" s="61">
        <f>+N504-'Приложение №2'!E504</f>
        <v>9.0623050928115845E-3</v>
      </c>
      <c r="AQ504" s="6">
        <f>1885278.18</f>
        <v>1885278.18</v>
      </c>
      <c r="AR504" s="3">
        <f>+(K504*13.95+L504*23.65)*12*0.85</f>
        <v>382219.39799999999</v>
      </c>
      <c r="AS504" s="3">
        <f>+(K504*13.95+L504*23.65)*12*30</f>
        <v>13490096.4</v>
      </c>
      <c r="AT504" s="6">
        <f t="shared" si="152"/>
        <v>0</v>
      </c>
      <c r="AU504" s="6" t="e">
        <v>#REF!</v>
      </c>
      <c r="AV504" s="6" t="e">
        <v>#REF!</v>
      </c>
      <c r="AW504" s="110">
        <f t="shared" si="149"/>
        <v>30154413.509085663</v>
      </c>
      <c r="AX504" s="55">
        <v>7654861.8469105698</v>
      </c>
      <c r="AY504" s="55">
        <v>0</v>
      </c>
      <c r="AZ504" s="55">
        <v>1899550.3606906701</v>
      </c>
      <c r="BA504" s="55">
        <v>0</v>
      </c>
      <c r="BB504" s="55">
        <v>0</v>
      </c>
      <c r="BC504" s="55"/>
      <c r="BD504" s="55">
        <v>341658.25265146903</v>
      </c>
      <c r="BE504" s="55">
        <v>0</v>
      </c>
      <c r="BF504" s="55"/>
      <c r="BG504" s="55">
        <v>0</v>
      </c>
      <c r="BH504" s="55">
        <v>19653688.9774573</v>
      </c>
      <c r="BI504" s="55">
        <v>0</v>
      </c>
      <c r="BJ504" s="55"/>
      <c r="BK504" s="63"/>
      <c r="BL504" s="64">
        <v>604654.07137565303</v>
      </c>
      <c r="BM504" s="110">
        <f t="shared" si="150"/>
        <v>30154413.509085663</v>
      </c>
      <c r="BN504" s="55">
        <v>7654861.8469105698</v>
      </c>
      <c r="BO504" s="55">
        <v>0</v>
      </c>
      <c r="BP504" s="55">
        <v>1899550.3606906701</v>
      </c>
      <c r="BQ504" s="55">
        <v>0</v>
      </c>
      <c r="BR504" s="55">
        <v>0</v>
      </c>
      <c r="BS504" s="55"/>
      <c r="BT504" s="55">
        <v>341658.25265146903</v>
      </c>
      <c r="BU504" s="55">
        <v>0</v>
      </c>
      <c r="BV504" s="55"/>
      <c r="BW504" s="55">
        <v>0</v>
      </c>
      <c r="BX504" s="55">
        <v>19653688.9774573</v>
      </c>
      <c r="BY504" s="55">
        <v>0</v>
      </c>
      <c r="BZ504" s="55"/>
      <c r="CA504" s="63"/>
      <c r="CB504" s="64">
        <v>604654.07137565303</v>
      </c>
      <c r="CD504" s="75"/>
      <c r="CE504" s="6"/>
    </row>
    <row r="505" spans="1:84" x14ac:dyDescent="0.25">
      <c r="A505" s="105">
        <f t="shared" si="151"/>
        <v>483</v>
      </c>
      <c r="B505" s="107">
        <f t="shared" si="148"/>
        <v>24</v>
      </c>
      <c r="C505" s="53" t="s">
        <v>75</v>
      </c>
      <c r="D505" s="53" t="s">
        <v>528</v>
      </c>
      <c r="E505" s="54">
        <v>1981</v>
      </c>
      <c r="F505" s="54">
        <v>2010</v>
      </c>
      <c r="G505" s="54" t="s">
        <v>64</v>
      </c>
      <c r="H505" s="54">
        <v>4</v>
      </c>
      <c r="I505" s="54">
        <v>6</v>
      </c>
      <c r="J505" s="55">
        <v>4191.3</v>
      </c>
      <c r="K505" s="55">
        <v>2691</v>
      </c>
      <c r="L505" s="55">
        <v>827.4</v>
      </c>
      <c r="M505" s="56">
        <v>128</v>
      </c>
      <c r="N505" s="112">
        <v>3054050.85</v>
      </c>
      <c r="O505" s="55"/>
      <c r="P505" s="63"/>
      <c r="Q505" s="63"/>
      <c r="R505" s="62">
        <v>1960747.23</v>
      </c>
      <c r="S505" s="62">
        <v>1093303.6200000001</v>
      </c>
      <c r="T505" s="63"/>
      <c r="U505" s="55">
        <v>833.70779123034094</v>
      </c>
      <c r="V505" s="55">
        <v>833.70779123034094</v>
      </c>
      <c r="W505" s="59">
        <v>2024</v>
      </c>
      <c r="X505" s="6" t="e">
        <v>#REF!</v>
      </c>
      <c r="Z505" s="62">
        <f t="shared" si="156"/>
        <v>3295862.3513087956</v>
      </c>
      <c r="AA505" s="55">
        <v>0</v>
      </c>
      <c r="AB505" s="55">
        <v>0</v>
      </c>
      <c r="AC505" s="55">
        <v>2870544.4983218</v>
      </c>
      <c r="AD505" s="55">
        <v>0</v>
      </c>
      <c r="AE505" s="55">
        <v>0</v>
      </c>
      <c r="AF505" s="55"/>
      <c r="AG505" s="55">
        <v>0</v>
      </c>
      <c r="AH505" s="55">
        <v>0</v>
      </c>
      <c r="AI505" s="55">
        <v>0</v>
      </c>
      <c r="AJ505" s="55">
        <v>0</v>
      </c>
      <c r="AK505" s="55">
        <v>0</v>
      </c>
      <c r="AL505" s="55">
        <v>0</v>
      </c>
      <c r="AM505" s="55">
        <v>329586.23513088003</v>
      </c>
      <c r="AN505" s="63">
        <v>32958.623513088001</v>
      </c>
      <c r="AO505" s="64">
        <v>62772.9943430274</v>
      </c>
      <c r="AP505" s="61">
        <f>+N505-'Приложение №2'!E505</f>
        <v>-4.3430272489786148E-3</v>
      </c>
      <c r="AQ505" s="1">
        <v>1517475.63</v>
      </c>
      <c r="AR505" s="3">
        <f>+(K505*10+L505*20)*12*0.85</f>
        <v>443271.6</v>
      </c>
      <c r="AS505" s="3">
        <f>+(K505*10+L505*20)*12*30</f>
        <v>15644880</v>
      </c>
      <c r="AT505" s="6">
        <f t="shared" si="152"/>
        <v>-14551576.379999999</v>
      </c>
      <c r="AU505" s="6" t="e">
        <v>#REF!</v>
      </c>
      <c r="AV505" s="6" t="e">
        <v>#REF!</v>
      </c>
      <c r="AW505" s="62">
        <f t="shared" si="149"/>
        <v>2933317.4926648275</v>
      </c>
      <c r="AX505" s="55">
        <v>0</v>
      </c>
      <c r="AY505" s="55">
        <v>0</v>
      </c>
      <c r="AZ505" s="55">
        <v>2870544.4983218</v>
      </c>
      <c r="BA505" s="55">
        <v>0</v>
      </c>
      <c r="BB505" s="55">
        <v>0</v>
      </c>
      <c r="BC505" s="55"/>
      <c r="BD505" s="55"/>
      <c r="BE505" s="55">
        <v>0</v>
      </c>
      <c r="BF505" s="55">
        <v>0</v>
      </c>
      <c r="BG505" s="55">
        <v>0</v>
      </c>
      <c r="BH505" s="55">
        <v>0</v>
      </c>
      <c r="BI505" s="55">
        <v>0</v>
      </c>
      <c r="BJ505" s="55"/>
      <c r="BK505" s="63"/>
      <c r="BL505" s="64">
        <v>62772.9943430274</v>
      </c>
      <c r="BM505" s="62">
        <f t="shared" si="150"/>
        <v>2933317.4926648275</v>
      </c>
      <c r="BN505" s="55">
        <v>0</v>
      </c>
      <c r="BO505" s="55">
        <v>0</v>
      </c>
      <c r="BP505" s="55">
        <v>2870544.4983218</v>
      </c>
      <c r="BQ505" s="55">
        <v>0</v>
      </c>
      <c r="BR505" s="55">
        <v>0</v>
      </c>
      <c r="BS505" s="55"/>
      <c r="BT505" s="55"/>
      <c r="BU505" s="55">
        <v>0</v>
      </c>
      <c r="BV505" s="55">
        <v>0</v>
      </c>
      <c r="BW505" s="55">
        <v>0</v>
      </c>
      <c r="BX505" s="55">
        <v>0</v>
      </c>
      <c r="BY505" s="55">
        <v>0</v>
      </c>
      <c r="BZ505" s="55"/>
      <c r="CA505" s="63"/>
      <c r="CB505" s="64">
        <v>62772.9943430274</v>
      </c>
      <c r="CD505" s="75"/>
      <c r="CE505" s="6"/>
    </row>
    <row r="506" spans="1:84" x14ac:dyDescent="0.25">
      <c r="A506" s="105">
        <f t="shared" si="151"/>
        <v>484</v>
      </c>
      <c r="B506" s="107">
        <f t="shared" si="148"/>
        <v>25</v>
      </c>
      <c r="C506" s="53" t="s">
        <v>75</v>
      </c>
      <c r="D506" s="53" t="s">
        <v>529</v>
      </c>
      <c r="E506" s="54">
        <v>1980</v>
      </c>
      <c r="F506" s="54">
        <v>2010</v>
      </c>
      <c r="G506" s="54" t="s">
        <v>64</v>
      </c>
      <c r="H506" s="54">
        <v>5</v>
      </c>
      <c r="I506" s="54">
        <v>3</v>
      </c>
      <c r="J506" s="55">
        <v>5185</v>
      </c>
      <c r="K506" s="55">
        <v>4394.2</v>
      </c>
      <c r="L506" s="55">
        <v>0</v>
      </c>
      <c r="M506" s="56">
        <v>182</v>
      </c>
      <c r="N506" s="112">
        <v>15805176.470000001</v>
      </c>
      <c r="O506" s="55"/>
      <c r="P506" s="63"/>
      <c r="Q506" s="63"/>
      <c r="R506" s="62">
        <v>3097180.14</v>
      </c>
      <c r="S506" s="62">
        <v>12707996.33</v>
      </c>
      <c r="T506" s="63"/>
      <c r="U506" s="63">
        <v>3596.8268339472602</v>
      </c>
      <c r="V506" s="63">
        <v>1188.2830200640001</v>
      </c>
      <c r="W506" s="59">
        <v>2024</v>
      </c>
      <c r="X506" s="6" t="e">
        <v>#REF!</v>
      </c>
      <c r="Z506" s="62">
        <f t="shared" si="156"/>
        <v>37425881.197486065</v>
      </c>
      <c r="AA506" s="55">
        <v>0</v>
      </c>
      <c r="AB506" s="55">
        <v>0</v>
      </c>
      <c r="AC506" s="55">
        <v>0</v>
      </c>
      <c r="AD506" s="55">
        <v>0</v>
      </c>
      <c r="AE506" s="55">
        <v>0</v>
      </c>
      <c r="AF506" s="55"/>
      <c r="AG506" s="55">
        <v>0</v>
      </c>
      <c r="AH506" s="55">
        <v>0</v>
      </c>
      <c r="AI506" s="55">
        <v>14455410.735332301</v>
      </c>
      <c r="AJ506" s="55">
        <v>0</v>
      </c>
      <c r="AK506" s="55">
        <v>18301425.87198</v>
      </c>
      <c r="AL506" s="55">
        <v>0</v>
      </c>
      <c r="AM506" s="55">
        <v>3578460.1054046201</v>
      </c>
      <c r="AN506" s="63">
        <v>374258.81197486102</v>
      </c>
      <c r="AO506" s="64">
        <v>716325.67279428104</v>
      </c>
      <c r="AP506" s="61">
        <f>+N506-'Приложение №2'!E506</f>
        <v>-3.7310440093278885E-3</v>
      </c>
      <c r="AQ506" s="65">
        <v>2626561.3199999998</v>
      </c>
      <c r="AR506" s="3">
        <f>+(K506*10.5+L506*21)*12*0.85</f>
        <v>470618.81999999995</v>
      </c>
      <c r="AS506" s="3">
        <f>+(K506*10.5+L506*21)*12*30</f>
        <v>16610075.999999998</v>
      </c>
      <c r="AT506" s="6">
        <f t="shared" si="152"/>
        <v>-3902079.6699999981</v>
      </c>
      <c r="AU506" s="6" t="e">
        <v>#REF!</v>
      </c>
      <c r="AV506" s="6" t="e">
        <v>#REF!</v>
      </c>
      <c r="AW506" s="110">
        <f t="shared" si="149"/>
        <v>15805176.473731045</v>
      </c>
      <c r="AX506" s="55">
        <v>0</v>
      </c>
      <c r="AY506" s="55">
        <v>0</v>
      </c>
      <c r="AZ506" s="55">
        <v>0</v>
      </c>
      <c r="BA506" s="55">
        <v>0</v>
      </c>
      <c r="BB506" s="55">
        <v>0</v>
      </c>
      <c r="BC506" s="55"/>
      <c r="BD506" s="55"/>
      <c r="BE506" s="55">
        <v>0</v>
      </c>
      <c r="BF506" s="55">
        <v>15466945.6971932</v>
      </c>
      <c r="BG506" s="55">
        <v>0</v>
      </c>
      <c r="BH506" s="55"/>
      <c r="BI506" s="55">
        <v>0</v>
      </c>
      <c r="BJ506" s="55"/>
      <c r="BK506" s="63"/>
      <c r="BL506" s="64">
        <v>338230.77653784503</v>
      </c>
      <c r="BM506" s="110">
        <f t="shared" si="150"/>
        <v>15805176.473731045</v>
      </c>
      <c r="BN506" s="55">
        <v>0</v>
      </c>
      <c r="BO506" s="55">
        <v>0</v>
      </c>
      <c r="BP506" s="55">
        <v>0</v>
      </c>
      <c r="BQ506" s="55">
        <v>0</v>
      </c>
      <c r="BR506" s="55">
        <v>0</v>
      </c>
      <c r="BS506" s="55"/>
      <c r="BT506" s="55"/>
      <c r="BU506" s="55">
        <v>0</v>
      </c>
      <c r="BV506" s="55">
        <v>15466945.6971932</v>
      </c>
      <c r="BW506" s="55">
        <v>0</v>
      </c>
      <c r="BX506" s="55"/>
      <c r="BY506" s="55">
        <v>0</v>
      </c>
      <c r="BZ506" s="55"/>
      <c r="CA506" s="63"/>
      <c r="CB506" s="64">
        <v>338230.77653784503</v>
      </c>
      <c r="CD506" s="75"/>
      <c r="CE506" s="6"/>
    </row>
    <row r="507" spans="1:84" x14ac:dyDescent="0.25">
      <c r="A507" s="105">
        <f t="shared" si="151"/>
        <v>485</v>
      </c>
      <c r="B507" s="107">
        <f t="shared" si="148"/>
        <v>26</v>
      </c>
      <c r="C507" s="53" t="s">
        <v>75</v>
      </c>
      <c r="D507" s="53" t="s">
        <v>530</v>
      </c>
      <c r="E507" s="54">
        <v>1990</v>
      </c>
      <c r="F507" s="54">
        <v>1990</v>
      </c>
      <c r="G507" s="54" t="s">
        <v>64</v>
      </c>
      <c r="H507" s="54">
        <v>5</v>
      </c>
      <c r="I507" s="54">
        <v>6</v>
      </c>
      <c r="J507" s="55">
        <v>5149.8999999999996</v>
      </c>
      <c r="K507" s="55">
        <v>4605.8</v>
      </c>
      <c r="L507" s="55">
        <v>0</v>
      </c>
      <c r="M507" s="56">
        <v>217</v>
      </c>
      <c r="N507" s="112">
        <v>4498939.37</v>
      </c>
      <c r="O507" s="55"/>
      <c r="P507" s="63"/>
      <c r="Q507" s="63"/>
      <c r="R507" s="62">
        <v>1325372.3700000001</v>
      </c>
      <c r="S507" s="62">
        <v>3173567</v>
      </c>
      <c r="T507" s="63"/>
      <c r="U507" s="55">
        <v>856.05201995012101</v>
      </c>
      <c r="V507" s="55">
        <v>856.05201995012101</v>
      </c>
      <c r="W507" s="59">
        <v>2024</v>
      </c>
      <c r="X507" s="6" t="e">
        <v>#REF!</v>
      </c>
      <c r="Z507" s="62">
        <f t="shared" si="156"/>
        <v>23542253.379726693</v>
      </c>
      <c r="AA507" s="55">
        <v>9139483.8463669103</v>
      </c>
      <c r="AB507" s="55">
        <v>3911901.54576367</v>
      </c>
      <c r="AC507" s="55">
        <v>3492077.6109207701</v>
      </c>
      <c r="AD507" s="55">
        <v>3688350.5075333598</v>
      </c>
      <c r="AE507" s="55">
        <v>0</v>
      </c>
      <c r="AF507" s="55"/>
      <c r="AG507" s="55">
        <v>379458.89215323399</v>
      </c>
      <c r="AH507" s="55">
        <v>0</v>
      </c>
      <c r="AI507" s="55">
        <v>0</v>
      </c>
      <c r="AJ507" s="55">
        <v>0</v>
      </c>
      <c r="AK507" s="55">
        <v>0</v>
      </c>
      <c r="AL507" s="55">
        <v>0</v>
      </c>
      <c r="AM507" s="55">
        <v>2244831.66062599</v>
      </c>
      <c r="AN507" s="63">
        <v>235422.53379726701</v>
      </c>
      <c r="AO507" s="64">
        <v>450726.78256549302</v>
      </c>
      <c r="AP507" s="61">
        <f>+N507-'Приложение №2'!E507</f>
        <v>-2.5654928758740425E-3</v>
      </c>
      <c r="AQ507" s="1">
        <f>2264861.1-76133.85-1333146.48</f>
        <v>855580.77</v>
      </c>
      <c r="AR507" s="3">
        <f>+(K507*10+L507*20)*12*0.85</f>
        <v>469791.6</v>
      </c>
      <c r="AS507" s="3">
        <f>+(K507*10+L507*20)*12*30-5321889.99-2719635.2</f>
        <v>8539354.8099999987</v>
      </c>
      <c r="AT507" s="6">
        <f t="shared" si="152"/>
        <v>-5365787.8099999987</v>
      </c>
      <c r="AU507" s="6" t="e">
        <v>#REF!</v>
      </c>
      <c r="AV507" s="6" t="e">
        <v>#REF!</v>
      </c>
      <c r="AW507" s="62">
        <f t="shared" si="149"/>
        <v>3942804.3934862632</v>
      </c>
      <c r="AX507" s="55"/>
      <c r="AY507" s="55"/>
      <c r="AZ507" s="55">
        <v>3492077.6109207701</v>
      </c>
      <c r="BA507" s="55"/>
      <c r="BB507" s="55">
        <v>0</v>
      </c>
      <c r="BC507" s="55"/>
      <c r="BD507" s="55"/>
      <c r="BE507" s="55">
        <v>0</v>
      </c>
      <c r="BF507" s="55">
        <v>0</v>
      </c>
      <c r="BG507" s="55">
        <v>0</v>
      </c>
      <c r="BH507" s="55">
        <v>0</v>
      </c>
      <c r="BI507" s="55">
        <v>0</v>
      </c>
      <c r="BJ507" s="55"/>
      <c r="BK507" s="63"/>
      <c r="BL507" s="64">
        <v>450726.78256549302</v>
      </c>
      <c r="BM507" s="62">
        <f t="shared" si="150"/>
        <v>3942804.3934862632</v>
      </c>
      <c r="BN507" s="55"/>
      <c r="BO507" s="55"/>
      <c r="BP507" s="55">
        <v>3492077.6109207701</v>
      </c>
      <c r="BQ507" s="55"/>
      <c r="BR507" s="55">
        <v>0</v>
      </c>
      <c r="BS507" s="55"/>
      <c r="BT507" s="55"/>
      <c r="BU507" s="55">
        <v>0</v>
      </c>
      <c r="BV507" s="55">
        <v>0</v>
      </c>
      <c r="BW507" s="55">
        <v>0</v>
      </c>
      <c r="BX507" s="55">
        <v>0</v>
      </c>
      <c r="BY507" s="55">
        <v>0</v>
      </c>
      <c r="BZ507" s="55"/>
      <c r="CA507" s="63"/>
      <c r="CB507" s="64">
        <v>450726.78256549302</v>
      </c>
      <c r="CD507" s="75"/>
      <c r="CE507" s="6"/>
    </row>
    <row r="508" spans="1:84" x14ac:dyDescent="0.25">
      <c r="A508" s="105">
        <f t="shared" si="151"/>
        <v>486</v>
      </c>
      <c r="B508" s="107">
        <f t="shared" si="148"/>
        <v>27</v>
      </c>
      <c r="C508" s="53" t="s">
        <v>75</v>
      </c>
      <c r="D508" s="53" t="s">
        <v>458</v>
      </c>
      <c r="E508" s="54">
        <v>1985</v>
      </c>
      <c r="F508" s="54">
        <v>2017</v>
      </c>
      <c r="G508" s="54" t="s">
        <v>64</v>
      </c>
      <c r="H508" s="54">
        <v>9</v>
      </c>
      <c r="I508" s="54">
        <v>5</v>
      </c>
      <c r="J508" s="55">
        <v>13256</v>
      </c>
      <c r="K508" s="55">
        <v>10326.299999999999</v>
      </c>
      <c r="L508" s="55">
        <v>160.4</v>
      </c>
      <c r="M508" s="56">
        <v>409</v>
      </c>
      <c r="N508" s="112">
        <v>9553166.7899999991</v>
      </c>
      <c r="O508" s="55"/>
      <c r="P508" s="63"/>
      <c r="Q508" s="63"/>
      <c r="R508" s="62">
        <v>7813607.9500000002</v>
      </c>
      <c r="S508" s="62">
        <v>1739558.84</v>
      </c>
      <c r="T508" s="63"/>
      <c r="U508" s="55">
        <v>3446.0015989930198</v>
      </c>
      <c r="V508" s="55">
        <v>3446.0015989930198</v>
      </c>
      <c r="W508" s="59">
        <v>2024</v>
      </c>
      <c r="X508" s="6" t="e">
        <v>#REF!</v>
      </c>
      <c r="Z508" s="62">
        <f t="shared" si="156"/>
        <v>37665450.361499541</v>
      </c>
      <c r="AA508" s="55">
        <v>24967938.103438001</v>
      </c>
      <c r="AB508" s="55">
        <v>0</v>
      </c>
      <c r="AC508" s="55">
        <v>7378265.4321645703</v>
      </c>
      <c r="AD508" s="55">
        <v>0</v>
      </c>
      <c r="AE508" s="55">
        <v>0</v>
      </c>
      <c r="AF508" s="55"/>
      <c r="AG508" s="55">
        <v>1109290.64124894</v>
      </c>
      <c r="AH508" s="55">
        <v>0</v>
      </c>
      <c r="AI508" s="55">
        <v>0</v>
      </c>
      <c r="AJ508" s="55">
        <v>0</v>
      </c>
      <c r="AK508" s="55">
        <v>0</v>
      </c>
      <c r="AL508" s="55">
        <v>0</v>
      </c>
      <c r="AM508" s="55">
        <v>3101697.78221368</v>
      </c>
      <c r="AN508" s="63">
        <v>376654.50361499499</v>
      </c>
      <c r="AO508" s="64">
        <v>731603.89881935599</v>
      </c>
      <c r="AP508" s="61">
        <f>+N508-'Приложение №2'!E508</f>
        <v>1.7269141972064972E-3</v>
      </c>
      <c r="AQ508" s="1">
        <v>6376950.8499999996</v>
      </c>
      <c r="AR508" s="3">
        <f>+(K508*13.29+L508*22.52)*12*0.85</f>
        <v>1436657.0969999998</v>
      </c>
      <c r="AS508" s="3">
        <f>+(K508*13.29+L508*22.52)*12*30</f>
        <v>50705544.599999994</v>
      </c>
      <c r="AT508" s="6">
        <f t="shared" si="152"/>
        <v>-48965985.75999999</v>
      </c>
      <c r="AU508" s="6" t="e">
        <v>#REF!</v>
      </c>
      <c r="AV508" s="6" t="e">
        <v>#REF!</v>
      </c>
      <c r="AW508" s="62">
        <f t="shared" si="149"/>
        <v>36137184.968160085</v>
      </c>
      <c r="AX508" s="55">
        <v>26584018.179887</v>
      </c>
      <c r="AY508" s="55">
        <v>0</v>
      </c>
      <c r="AZ508" s="55">
        <v>7688281.3864862304</v>
      </c>
      <c r="BA508" s="55">
        <v>0</v>
      </c>
      <c r="BB508" s="55">
        <v>0</v>
      </c>
      <c r="BC508" s="55"/>
      <c r="BD508" s="55">
        <v>1109290.64124894</v>
      </c>
      <c r="BE508" s="55">
        <v>0</v>
      </c>
      <c r="BF508" s="55">
        <v>0</v>
      </c>
      <c r="BG508" s="55">
        <v>0</v>
      </c>
      <c r="BH508" s="55">
        <v>0</v>
      </c>
      <c r="BI508" s="55">
        <v>0</v>
      </c>
      <c r="BJ508" s="55"/>
      <c r="BK508" s="63"/>
      <c r="BL508" s="64">
        <v>755594.76053791505</v>
      </c>
      <c r="BM508" s="62">
        <f t="shared" si="150"/>
        <v>36137184.968160085</v>
      </c>
      <c r="BN508" s="55">
        <v>26584018.179887</v>
      </c>
      <c r="BO508" s="55">
        <v>0</v>
      </c>
      <c r="BP508" s="55">
        <v>7688281.3864862304</v>
      </c>
      <c r="BQ508" s="55">
        <v>0</v>
      </c>
      <c r="BR508" s="55">
        <v>0</v>
      </c>
      <c r="BS508" s="55"/>
      <c r="BT508" s="55">
        <v>1109290.64124894</v>
      </c>
      <c r="BU508" s="55">
        <v>0</v>
      </c>
      <c r="BV508" s="55">
        <v>0</v>
      </c>
      <c r="BW508" s="55">
        <v>0</v>
      </c>
      <c r="BX508" s="55">
        <v>0</v>
      </c>
      <c r="BY508" s="55">
        <v>0</v>
      </c>
      <c r="BZ508" s="55"/>
      <c r="CA508" s="63"/>
      <c r="CB508" s="64">
        <v>755594.76053791505</v>
      </c>
      <c r="CD508" s="75"/>
      <c r="CE508" s="6"/>
    </row>
    <row r="509" spans="1:84" x14ac:dyDescent="0.25">
      <c r="A509" s="105">
        <f t="shared" si="151"/>
        <v>487</v>
      </c>
      <c r="B509" s="107">
        <f t="shared" si="148"/>
        <v>28</v>
      </c>
      <c r="C509" s="53" t="s">
        <v>75</v>
      </c>
      <c r="D509" s="53" t="s">
        <v>531</v>
      </c>
      <c r="E509" s="54">
        <v>1992</v>
      </c>
      <c r="F509" s="54">
        <v>2012</v>
      </c>
      <c r="G509" s="54" t="s">
        <v>64</v>
      </c>
      <c r="H509" s="54">
        <v>9</v>
      </c>
      <c r="I509" s="54">
        <v>1</v>
      </c>
      <c r="J509" s="55">
        <v>2846</v>
      </c>
      <c r="K509" s="55">
        <v>2452.1999999999998</v>
      </c>
      <c r="L509" s="55">
        <v>0</v>
      </c>
      <c r="M509" s="56">
        <v>98</v>
      </c>
      <c r="N509" s="112">
        <v>4271050</v>
      </c>
      <c r="O509" s="55"/>
      <c r="P509" s="63"/>
      <c r="Q509" s="63"/>
      <c r="R509" s="62">
        <v>2291760.2799999998</v>
      </c>
      <c r="S509" s="62">
        <v>1979289.72</v>
      </c>
      <c r="T509" s="63"/>
      <c r="U509" s="63">
        <v>1741.72171927249</v>
      </c>
      <c r="V509" s="63">
        <v>1741.72171927249</v>
      </c>
      <c r="W509" s="59">
        <v>2024</v>
      </c>
      <c r="X509" s="3" t="e">
        <v>#REF!</v>
      </c>
      <c r="AD509" s="3" t="e">
        <v>#REF!</v>
      </c>
      <c r="AP509" s="61">
        <f>+N509-'Приложение №2'!E509</f>
        <v>0</v>
      </c>
      <c r="AQ509" s="1">
        <v>1942836.74</v>
      </c>
      <c r="AR509" s="3">
        <f>+(K509*13.95+L509*23.65)*12*0.85</f>
        <v>348923.53799999994</v>
      </c>
      <c r="AS509" s="3">
        <f>+(K509*13.95+L509*23.65)*12*30</f>
        <v>12314948.399999997</v>
      </c>
      <c r="AT509" s="6">
        <f t="shared" si="152"/>
        <v>-10335658.679999996</v>
      </c>
      <c r="AU509" s="6"/>
      <c r="AV509" s="6"/>
      <c r="AW509" s="110">
        <f t="shared" si="149"/>
        <v>4271050</v>
      </c>
      <c r="AX509" s="55">
        <v>0</v>
      </c>
      <c r="AY509" s="55">
        <v>0</v>
      </c>
      <c r="AZ509" s="55">
        <v>0</v>
      </c>
      <c r="BA509" s="55">
        <v>0</v>
      </c>
      <c r="BB509" s="55">
        <v>0</v>
      </c>
      <c r="BC509" s="55"/>
      <c r="BD509" s="55">
        <v>0</v>
      </c>
      <c r="BE509" s="55">
        <v>4012463.5488</v>
      </c>
      <c r="BF509" s="55"/>
      <c r="BG509" s="55">
        <v>0</v>
      </c>
      <c r="BH509" s="55">
        <v>0</v>
      </c>
      <c r="BI509" s="55">
        <v>0</v>
      </c>
      <c r="BJ509" s="55">
        <v>128131.5</v>
      </c>
      <c r="BK509" s="63">
        <v>42710.5</v>
      </c>
      <c r="BL509" s="64">
        <v>87744.451199999996</v>
      </c>
      <c r="BM509" s="110">
        <f t="shared" si="150"/>
        <v>4271050</v>
      </c>
      <c r="BN509" s="55">
        <v>0</v>
      </c>
      <c r="BO509" s="55">
        <v>0</v>
      </c>
      <c r="BP509" s="55">
        <v>0</v>
      </c>
      <c r="BQ509" s="55">
        <v>0</v>
      </c>
      <c r="BR509" s="55">
        <v>0</v>
      </c>
      <c r="BS509" s="55"/>
      <c r="BT509" s="55">
        <v>0</v>
      </c>
      <c r="BU509" s="55">
        <v>4012463.5488</v>
      </c>
      <c r="BV509" s="55"/>
      <c r="BW509" s="55">
        <v>0</v>
      </c>
      <c r="BX509" s="55">
        <v>0</v>
      </c>
      <c r="BY509" s="55">
        <v>0</v>
      </c>
      <c r="BZ509" s="55">
        <v>128131.5</v>
      </c>
      <c r="CA509" s="63">
        <v>42710.5</v>
      </c>
      <c r="CB509" s="64">
        <v>87744.451199999996</v>
      </c>
      <c r="CD509" s="75"/>
      <c r="CE509" s="6"/>
    </row>
    <row r="510" spans="1:84" x14ac:dyDescent="0.25">
      <c r="A510" s="105">
        <f t="shared" si="151"/>
        <v>488</v>
      </c>
      <c r="B510" s="107">
        <f t="shared" si="148"/>
        <v>29</v>
      </c>
      <c r="C510" s="53" t="s">
        <v>75</v>
      </c>
      <c r="D510" s="53" t="s">
        <v>532</v>
      </c>
      <c r="E510" s="54">
        <v>1985</v>
      </c>
      <c r="F510" s="54">
        <v>2009</v>
      </c>
      <c r="G510" s="54" t="s">
        <v>64</v>
      </c>
      <c r="H510" s="54">
        <v>9</v>
      </c>
      <c r="I510" s="54">
        <v>3</v>
      </c>
      <c r="J510" s="55">
        <v>8711.5</v>
      </c>
      <c r="K510" s="55">
        <v>6822.5</v>
      </c>
      <c r="L510" s="55">
        <v>438.1</v>
      </c>
      <c r="M510" s="56">
        <v>267</v>
      </c>
      <c r="N510" s="112">
        <v>12813150</v>
      </c>
      <c r="O510" s="55"/>
      <c r="P510" s="63"/>
      <c r="Q510" s="63"/>
      <c r="R510" s="62">
        <v>6542298.3899999997</v>
      </c>
      <c r="S510" s="62">
        <v>6270851.6100000003</v>
      </c>
      <c r="T510" s="63"/>
      <c r="U510" s="63">
        <v>1878.0725540491001</v>
      </c>
      <c r="V510" s="63">
        <v>1196.2830200640001</v>
      </c>
      <c r="W510" s="59">
        <v>2024</v>
      </c>
      <c r="X510" s="6"/>
      <c r="Z510" s="62"/>
      <c r="AA510" s="55"/>
      <c r="AB510" s="55"/>
      <c r="AC510" s="55"/>
      <c r="AD510" s="55"/>
      <c r="AE510" s="55"/>
      <c r="AF510" s="55"/>
      <c r="AG510" s="55"/>
      <c r="AH510" s="55"/>
      <c r="AI510" s="55"/>
      <c r="AJ510" s="55"/>
      <c r="AK510" s="55"/>
      <c r="AL510" s="55"/>
      <c r="AM510" s="55"/>
      <c r="AN510" s="63"/>
      <c r="AO510" s="64"/>
      <c r="AP510" s="61">
        <f>+N510-'Приложение №2'!E510</f>
        <v>0</v>
      </c>
      <c r="AQ510" s="1">
        <v>5465842</v>
      </c>
      <c r="AR510" s="3">
        <f>+(K510*13.95+L510*23.65)*12*0.85</f>
        <v>1076456.388</v>
      </c>
      <c r="AS510" s="3">
        <f>+(K510*13.95+L510*23.65)*12*30</f>
        <v>37992578.399999999</v>
      </c>
      <c r="AT510" s="6">
        <f t="shared" si="152"/>
        <v>-31721726.789999999</v>
      </c>
      <c r="AU510" s="6" t="e">
        <v>#REF!</v>
      </c>
      <c r="AV510" s="6" t="e">
        <v>#REF!</v>
      </c>
      <c r="AW510" s="110">
        <f t="shared" si="149"/>
        <v>12813150</v>
      </c>
      <c r="AX510" s="55"/>
      <c r="AY510" s="55"/>
      <c r="AZ510" s="55"/>
      <c r="BA510" s="55"/>
      <c r="BB510" s="55"/>
      <c r="BC510" s="55"/>
      <c r="BD510" s="55"/>
      <c r="BE510" s="55">
        <v>12037390.646400001</v>
      </c>
      <c r="BF510" s="55"/>
      <c r="BG510" s="55"/>
      <c r="BH510" s="55"/>
      <c r="BI510" s="55"/>
      <c r="BJ510" s="55">
        <v>384394.5</v>
      </c>
      <c r="BK510" s="63">
        <v>128131.5</v>
      </c>
      <c r="BL510" s="64">
        <v>263233.35359999997</v>
      </c>
      <c r="BM510" s="110">
        <f t="shared" si="150"/>
        <v>12813150</v>
      </c>
      <c r="BN510" s="55"/>
      <c r="BO510" s="55"/>
      <c r="BP510" s="55"/>
      <c r="BQ510" s="55"/>
      <c r="BR510" s="55"/>
      <c r="BS510" s="55"/>
      <c r="BT510" s="55"/>
      <c r="BU510" s="55">
        <v>12037390.646400001</v>
      </c>
      <c r="BV510" s="55"/>
      <c r="BW510" s="55"/>
      <c r="BX510" s="55"/>
      <c r="BY510" s="55"/>
      <c r="BZ510" s="55">
        <v>384394.5</v>
      </c>
      <c r="CA510" s="63">
        <v>128131.5</v>
      </c>
      <c r="CB510" s="64">
        <v>263233.35359999997</v>
      </c>
      <c r="CD510" s="75"/>
      <c r="CE510" s="6"/>
    </row>
    <row r="511" spans="1:84" x14ac:dyDescent="0.25">
      <c r="A511" s="105">
        <f t="shared" si="151"/>
        <v>489</v>
      </c>
      <c r="B511" s="107">
        <f t="shared" si="148"/>
        <v>30</v>
      </c>
      <c r="C511" s="53" t="s">
        <v>75</v>
      </c>
      <c r="D511" s="53" t="s">
        <v>533</v>
      </c>
      <c r="E511" s="54" t="s">
        <v>525</v>
      </c>
      <c r="F511" s="54"/>
      <c r="G511" s="54" t="s">
        <v>64</v>
      </c>
      <c r="H511" s="54" t="s">
        <v>123</v>
      </c>
      <c r="I511" s="54" t="s">
        <v>229</v>
      </c>
      <c r="J511" s="55">
        <v>2946.9</v>
      </c>
      <c r="K511" s="55">
        <v>2343.5</v>
      </c>
      <c r="L511" s="55">
        <v>393.2</v>
      </c>
      <c r="M511" s="56">
        <v>71</v>
      </c>
      <c r="N511" s="112">
        <v>4271050</v>
      </c>
      <c r="O511" s="55"/>
      <c r="P511" s="63"/>
      <c r="Q511" s="63"/>
      <c r="R511" s="62">
        <v>2407883.8199999998</v>
      </c>
      <c r="S511" s="62">
        <v>1863166.18</v>
      </c>
      <c r="T511" s="55"/>
      <c r="U511" s="63">
        <v>1560.6569956517001</v>
      </c>
      <c r="V511" s="63">
        <v>1560.6569956517001</v>
      </c>
      <c r="W511" s="59">
        <v>2024</v>
      </c>
      <c r="X511" s="3"/>
      <c r="AD511" s="3"/>
      <c r="AP511" s="61">
        <f>+N511-'Приложение №2'!E511</f>
        <v>0</v>
      </c>
      <c r="AQ511" s="1">
        <v>1979575.57</v>
      </c>
      <c r="AR511" s="3">
        <f>+(K511*13.95+L511*23.65)*12*0.85</f>
        <v>428308.25099999993</v>
      </c>
      <c r="AS511" s="3">
        <f>+(K511*13.95+L511*23.65)*12*30</f>
        <v>15116761.799999999</v>
      </c>
      <c r="AT511" s="6">
        <f t="shared" si="152"/>
        <v>-13253595.619999999</v>
      </c>
      <c r="AU511" s="6"/>
      <c r="AV511" s="6"/>
      <c r="AW511" s="110">
        <f t="shared" si="149"/>
        <v>4271050</v>
      </c>
      <c r="AX511" s="55"/>
      <c r="AY511" s="55"/>
      <c r="AZ511" s="55"/>
      <c r="BA511" s="55"/>
      <c r="BB511" s="55"/>
      <c r="BC511" s="55"/>
      <c r="BD511" s="55"/>
      <c r="BE511" s="55">
        <v>4012463.5488</v>
      </c>
      <c r="BF511" s="55"/>
      <c r="BG511" s="55"/>
      <c r="BH511" s="55"/>
      <c r="BI511" s="55"/>
      <c r="BJ511" s="55">
        <v>128131.5</v>
      </c>
      <c r="BK511" s="63">
        <v>42710.5</v>
      </c>
      <c r="BL511" s="64">
        <v>87744.451199999996</v>
      </c>
      <c r="BM511" s="110">
        <f t="shared" si="150"/>
        <v>4271050</v>
      </c>
      <c r="BN511" s="55"/>
      <c r="BO511" s="55"/>
      <c r="BP511" s="55"/>
      <c r="BQ511" s="55"/>
      <c r="BR511" s="55"/>
      <c r="BS511" s="55"/>
      <c r="BT511" s="55"/>
      <c r="BU511" s="55">
        <v>4012463.5488</v>
      </c>
      <c r="BV511" s="55"/>
      <c r="BW511" s="55"/>
      <c r="BX511" s="55"/>
      <c r="BY511" s="55"/>
      <c r="BZ511" s="55">
        <v>128131.5</v>
      </c>
      <c r="CA511" s="63">
        <v>42710.5</v>
      </c>
      <c r="CB511" s="64">
        <v>87744.451199999996</v>
      </c>
      <c r="CD511" s="75"/>
      <c r="CE511" s="6"/>
    </row>
    <row r="512" spans="1:84" x14ac:dyDescent="0.25">
      <c r="A512" s="105">
        <f t="shared" si="151"/>
        <v>490</v>
      </c>
      <c r="B512" s="107">
        <f t="shared" si="148"/>
        <v>31</v>
      </c>
      <c r="C512" s="53" t="s">
        <v>75</v>
      </c>
      <c r="D512" s="53" t="s">
        <v>534</v>
      </c>
      <c r="E512" s="54" t="s">
        <v>525</v>
      </c>
      <c r="F512" s="54"/>
      <c r="G512" s="54" t="s">
        <v>64</v>
      </c>
      <c r="H512" s="54" t="s">
        <v>123</v>
      </c>
      <c r="I512" s="54" t="s">
        <v>102</v>
      </c>
      <c r="J512" s="55">
        <v>5832.9</v>
      </c>
      <c r="K512" s="55">
        <v>4738.3999999999996</v>
      </c>
      <c r="L512" s="55">
        <v>801.3</v>
      </c>
      <c r="M512" s="56">
        <v>154</v>
      </c>
      <c r="N512" s="112">
        <v>8542100.0099999998</v>
      </c>
      <c r="O512" s="55"/>
      <c r="P512" s="63"/>
      <c r="Q512" s="63"/>
      <c r="R512" s="62">
        <v>4830594.43</v>
      </c>
      <c r="S512" s="62">
        <v>3711505.58</v>
      </c>
      <c r="T512" s="63"/>
      <c r="U512" s="63">
        <v>1541.97880751665</v>
      </c>
      <c r="V512" s="63">
        <v>1541.97880751665</v>
      </c>
      <c r="W512" s="59">
        <v>2024</v>
      </c>
      <c r="X512" s="6"/>
      <c r="Z512" s="62"/>
      <c r="AA512" s="55"/>
      <c r="AB512" s="55"/>
      <c r="AC512" s="55"/>
      <c r="AD512" s="55"/>
      <c r="AE512" s="55"/>
      <c r="AF512" s="55"/>
      <c r="AG512" s="55"/>
      <c r="AH512" s="55"/>
      <c r="AI512" s="55"/>
      <c r="AJ512" s="55"/>
      <c r="AK512" s="55"/>
      <c r="AL512" s="55"/>
      <c r="AM512" s="55"/>
      <c r="AN512" s="63"/>
      <c r="AO512" s="64"/>
      <c r="AP512" s="61">
        <f>+N512-'Приложение №2'!E512</f>
        <v>9.9999997764825821E-3</v>
      </c>
      <c r="AQ512" s="1">
        <v>3963069.89</v>
      </c>
      <c r="AR512" s="3">
        <f>+(K512*13.95+L512*23.65)*12*0.85</f>
        <v>867524.53499999992</v>
      </c>
      <c r="AS512" s="3">
        <f>+(K512*13.95+L512*23.65)*12*30</f>
        <v>30618512.999999996</v>
      </c>
      <c r="AT512" s="6">
        <f t="shared" si="152"/>
        <v>-26907007.419999994</v>
      </c>
      <c r="AU512" s="6"/>
      <c r="AV512" s="6"/>
      <c r="AW512" s="110">
        <f t="shared" si="149"/>
        <v>8542100</v>
      </c>
      <c r="AX512" s="55"/>
      <c r="AY512" s="55"/>
      <c r="AZ512" s="55"/>
      <c r="BA512" s="55"/>
      <c r="BB512" s="55"/>
      <c r="BC512" s="55"/>
      <c r="BD512" s="55"/>
      <c r="BE512" s="55">
        <v>8024927.0976</v>
      </c>
      <c r="BF512" s="55"/>
      <c r="BG512" s="55"/>
      <c r="BH512" s="55"/>
      <c r="BI512" s="55"/>
      <c r="BJ512" s="55">
        <v>256263</v>
      </c>
      <c r="BK512" s="63">
        <v>85421</v>
      </c>
      <c r="BL512" s="64">
        <v>175488.90239999999</v>
      </c>
      <c r="BM512" s="110">
        <f t="shared" si="150"/>
        <v>8542100</v>
      </c>
      <c r="BN512" s="55"/>
      <c r="BO512" s="55"/>
      <c r="BP512" s="55"/>
      <c r="BQ512" s="55"/>
      <c r="BR512" s="55"/>
      <c r="BS512" s="55"/>
      <c r="BT512" s="55"/>
      <c r="BU512" s="55">
        <v>8024927.0976</v>
      </c>
      <c r="BV512" s="55"/>
      <c r="BW512" s="55"/>
      <c r="BX512" s="55"/>
      <c r="BY512" s="55"/>
      <c r="BZ512" s="55">
        <v>256263</v>
      </c>
      <c r="CA512" s="63">
        <v>85421</v>
      </c>
      <c r="CB512" s="64">
        <v>175488.90239999999</v>
      </c>
      <c r="CD512" s="75"/>
      <c r="CE512" s="6"/>
    </row>
    <row r="513" spans="1:83" x14ac:dyDescent="0.25">
      <c r="A513" s="105">
        <f t="shared" si="151"/>
        <v>491</v>
      </c>
      <c r="B513" s="107">
        <f t="shared" si="148"/>
        <v>32</v>
      </c>
      <c r="C513" s="53" t="s">
        <v>75</v>
      </c>
      <c r="D513" s="53" t="s">
        <v>535</v>
      </c>
      <c r="E513" s="54" t="s">
        <v>506</v>
      </c>
      <c r="F513" s="54"/>
      <c r="G513" s="54" t="s">
        <v>64</v>
      </c>
      <c r="H513" s="54" t="s">
        <v>123</v>
      </c>
      <c r="I513" s="54" t="s">
        <v>229</v>
      </c>
      <c r="J513" s="55">
        <v>3327.1</v>
      </c>
      <c r="K513" s="55">
        <v>2700.2</v>
      </c>
      <c r="L513" s="55">
        <v>127.1</v>
      </c>
      <c r="M513" s="56">
        <v>93</v>
      </c>
      <c r="N513" s="112">
        <v>4271050</v>
      </c>
      <c r="O513" s="55"/>
      <c r="P513" s="63"/>
      <c r="Q513" s="63"/>
      <c r="R513" s="62">
        <v>2747959.49</v>
      </c>
      <c r="S513" s="62">
        <v>1523090.51</v>
      </c>
      <c r="T513" s="63"/>
      <c r="U513" s="63">
        <v>1510.64619955435</v>
      </c>
      <c r="V513" s="63">
        <v>1510.64619955435</v>
      </c>
      <c r="W513" s="59">
        <v>2024</v>
      </c>
      <c r="X513" s="6"/>
      <c r="Z513" s="62"/>
      <c r="AA513" s="55"/>
      <c r="AB513" s="55"/>
      <c r="AC513" s="55"/>
      <c r="AD513" s="55"/>
      <c r="AE513" s="55"/>
      <c r="AF513" s="55"/>
      <c r="AG513" s="55"/>
      <c r="AH513" s="55"/>
      <c r="AI513" s="55"/>
      <c r="AJ513" s="55"/>
      <c r="AK513" s="55"/>
      <c r="AL513" s="55"/>
      <c r="AM513" s="55"/>
      <c r="AN513" s="63"/>
      <c r="AO513" s="64"/>
      <c r="AP513" s="61">
        <f>+N513-'Приложение №2'!E513</f>
        <v>0</v>
      </c>
      <c r="AQ513" s="1">
        <v>2333087.7000000002</v>
      </c>
      <c r="AR513" s="3">
        <f>+(K513*13.95+L513*23.65)*12*0.85</f>
        <v>414871.79099999997</v>
      </c>
      <c r="AS513" s="3">
        <f>+(K513*13.95+L513*23.65)*12*30</f>
        <v>14642533.799999999</v>
      </c>
      <c r="AT513" s="6">
        <f t="shared" si="152"/>
        <v>-13119443.289999999</v>
      </c>
      <c r="AU513" s="6"/>
      <c r="AV513" s="6"/>
      <c r="AW513" s="110">
        <f t="shared" si="149"/>
        <v>4271050</v>
      </c>
      <c r="AX513" s="55"/>
      <c r="AY513" s="55"/>
      <c r="AZ513" s="55"/>
      <c r="BA513" s="55"/>
      <c r="BB513" s="55"/>
      <c r="BC513" s="55"/>
      <c r="BD513" s="55"/>
      <c r="BE513" s="55">
        <v>4012463.5488</v>
      </c>
      <c r="BF513" s="55"/>
      <c r="BG513" s="55"/>
      <c r="BH513" s="55"/>
      <c r="BI513" s="55"/>
      <c r="BJ513" s="55">
        <v>128131.5</v>
      </c>
      <c r="BK513" s="63">
        <v>42710.5</v>
      </c>
      <c r="BL513" s="64">
        <v>87744.451199999996</v>
      </c>
      <c r="BM513" s="110">
        <f t="shared" si="150"/>
        <v>4271050</v>
      </c>
      <c r="BN513" s="55"/>
      <c r="BO513" s="55"/>
      <c r="BP513" s="55"/>
      <c r="BQ513" s="55"/>
      <c r="BR513" s="55"/>
      <c r="BS513" s="55"/>
      <c r="BT513" s="55"/>
      <c r="BU513" s="55">
        <v>4012463.5488</v>
      </c>
      <c r="BV513" s="55"/>
      <c r="BW513" s="55"/>
      <c r="BX513" s="55"/>
      <c r="BY513" s="55"/>
      <c r="BZ513" s="55">
        <v>128131.5</v>
      </c>
      <c r="CA513" s="63">
        <v>42710.5</v>
      </c>
      <c r="CB513" s="64">
        <v>87744.451199999996</v>
      </c>
      <c r="CD513" s="75"/>
      <c r="CE513" s="6"/>
    </row>
    <row r="514" spans="1:83" x14ac:dyDescent="0.25">
      <c r="A514" s="105">
        <f t="shared" si="151"/>
        <v>492</v>
      </c>
      <c r="B514" s="107">
        <f t="shared" ref="B514:B545" si="157">+B513+1</f>
        <v>33</v>
      </c>
      <c r="C514" s="53" t="s">
        <v>75</v>
      </c>
      <c r="D514" s="53" t="s">
        <v>80</v>
      </c>
      <c r="E514" s="54">
        <v>1990</v>
      </c>
      <c r="F514" s="54">
        <v>2017</v>
      </c>
      <c r="G514" s="54" t="s">
        <v>64</v>
      </c>
      <c r="H514" s="54">
        <v>10</v>
      </c>
      <c r="I514" s="54">
        <v>3</v>
      </c>
      <c r="J514" s="55">
        <v>10664.8</v>
      </c>
      <c r="K514" s="55">
        <v>8965.7000000000007</v>
      </c>
      <c r="L514" s="55">
        <v>241.2</v>
      </c>
      <c r="M514" s="56">
        <v>365</v>
      </c>
      <c r="N514" s="112">
        <v>6651991.1799999997</v>
      </c>
      <c r="O514" s="55"/>
      <c r="P514" s="63"/>
      <c r="Q514" s="63"/>
      <c r="R514" s="62">
        <v>6651991.1799999997</v>
      </c>
      <c r="S514" s="63"/>
      <c r="T514" s="63"/>
      <c r="U514" s="63">
        <v>722.50064393081198</v>
      </c>
      <c r="V514" s="63">
        <v>722.50064393081198</v>
      </c>
      <c r="W514" s="59">
        <v>2024</v>
      </c>
      <c r="X514" s="6" t="e">
        <v>#REF!</v>
      </c>
      <c r="Z514" s="62">
        <f>SUM(AA514:AO514)</f>
        <v>17451465.54755237</v>
      </c>
      <c r="AA514" s="55"/>
      <c r="AB514" s="55"/>
      <c r="AC514" s="55">
        <v>6509638.5673844097</v>
      </c>
      <c r="AD514" s="55">
        <v>4159957.4733218299</v>
      </c>
      <c r="AE514" s="55">
        <v>0</v>
      </c>
      <c r="AF514" s="55"/>
      <c r="AG514" s="55">
        <v>978696.30838074198</v>
      </c>
      <c r="AH514" s="55">
        <v>0</v>
      </c>
      <c r="AI514" s="55">
        <v>0</v>
      </c>
      <c r="AJ514" s="55">
        <v>0</v>
      </c>
      <c r="AK514" s="55">
        <v>0</v>
      </c>
      <c r="AL514" s="55">
        <v>0</v>
      </c>
      <c r="AM514" s="55">
        <v>4391061.0735815102</v>
      </c>
      <c r="AN514" s="63">
        <v>482934.91690454801</v>
      </c>
      <c r="AO514" s="64">
        <v>929177.20797933103</v>
      </c>
      <c r="AP514" s="61">
        <f>+N514-'Приложение №2'!E514</f>
        <v>1.3934094458818436E-3</v>
      </c>
      <c r="AQ514" s="6">
        <f>6040448.13-R30</f>
        <v>5511413.1500000004</v>
      </c>
      <c r="AR514" s="3">
        <f>+(K514*13.29+L514*22.52)*12*0.85</f>
        <v>1270776.9653999999</v>
      </c>
      <c r="AS514" s="3">
        <f>+(K514*13.29+L514*22.52)*12*30-11155353.44</f>
        <v>33695598.280000001</v>
      </c>
      <c r="AT514" s="6">
        <f t="shared" si="152"/>
        <v>-33695598.280000001</v>
      </c>
      <c r="AU514" s="6" t="e">
        <v>#REF!</v>
      </c>
      <c r="AV514" s="6" t="e">
        <v>#REF!</v>
      </c>
      <c r="AW514" s="62">
        <f t="shared" si="149"/>
        <v>6651991.1786065903</v>
      </c>
      <c r="AX514" s="55"/>
      <c r="AY514" s="55"/>
      <c r="AZ514" s="55">
        <v>6509638.5673844097</v>
      </c>
      <c r="BA514" s="55"/>
      <c r="BB514" s="55"/>
      <c r="BC514" s="55"/>
      <c r="BD514" s="55"/>
      <c r="BE514" s="55">
        <v>0</v>
      </c>
      <c r="BF514" s="55">
        <v>0</v>
      </c>
      <c r="BG514" s="55">
        <v>0</v>
      </c>
      <c r="BH514" s="55">
        <v>0</v>
      </c>
      <c r="BI514" s="55">
        <v>0</v>
      </c>
      <c r="BJ514" s="55"/>
      <c r="BK514" s="63"/>
      <c r="BL514" s="64">
        <v>142352.611222181</v>
      </c>
      <c r="BM514" s="62">
        <f t="shared" si="150"/>
        <v>6651991.1786065903</v>
      </c>
      <c r="BN514" s="55"/>
      <c r="BO514" s="55"/>
      <c r="BP514" s="55">
        <v>6509638.5673844097</v>
      </c>
      <c r="BQ514" s="55"/>
      <c r="BR514" s="55"/>
      <c r="BS514" s="55"/>
      <c r="BT514" s="55"/>
      <c r="BU514" s="55">
        <v>0</v>
      </c>
      <c r="BV514" s="55">
        <v>0</v>
      </c>
      <c r="BW514" s="55">
        <v>0</v>
      </c>
      <c r="BX514" s="55">
        <v>0</v>
      </c>
      <c r="BY514" s="55">
        <v>0</v>
      </c>
      <c r="BZ514" s="55"/>
      <c r="CA514" s="63"/>
      <c r="CB514" s="64">
        <v>142352.611222181</v>
      </c>
      <c r="CD514" s="75"/>
      <c r="CE514" s="6"/>
    </row>
    <row r="515" spans="1:83" x14ac:dyDescent="0.25">
      <c r="A515" s="105">
        <f t="shared" si="151"/>
        <v>493</v>
      </c>
      <c r="B515" s="107">
        <f t="shared" si="157"/>
        <v>34</v>
      </c>
      <c r="C515" s="53" t="s">
        <v>75</v>
      </c>
      <c r="D515" s="53" t="s">
        <v>536</v>
      </c>
      <c r="E515" s="54">
        <v>1985</v>
      </c>
      <c r="F515" s="54">
        <v>2011</v>
      </c>
      <c r="G515" s="54" t="s">
        <v>64</v>
      </c>
      <c r="H515" s="54">
        <v>9</v>
      </c>
      <c r="I515" s="54">
        <v>3</v>
      </c>
      <c r="J515" s="55">
        <v>8800.5</v>
      </c>
      <c r="K515" s="55">
        <v>6909.1</v>
      </c>
      <c r="L515" s="55">
        <v>362.5</v>
      </c>
      <c r="M515" s="56">
        <v>269</v>
      </c>
      <c r="N515" s="112">
        <v>12813150</v>
      </c>
      <c r="O515" s="55"/>
      <c r="P515" s="63"/>
      <c r="Q515" s="63"/>
      <c r="R515" s="62">
        <v>6354952.0800000001</v>
      </c>
      <c r="S515" s="62">
        <v>6458197.9199999999</v>
      </c>
      <c r="T515" s="63"/>
      <c r="U515" s="63">
        <v>1762.0812475933801</v>
      </c>
      <c r="V515" s="63">
        <v>1762.0812475933801</v>
      </c>
      <c r="W515" s="59">
        <v>2024</v>
      </c>
      <c r="X515" s="6"/>
      <c r="Z515" s="62"/>
      <c r="AA515" s="55"/>
      <c r="AB515" s="55"/>
      <c r="AC515" s="55"/>
      <c r="AD515" s="55"/>
      <c r="AE515" s="55"/>
      <c r="AF515" s="55"/>
      <c r="AG515" s="55"/>
      <c r="AH515" s="55"/>
      <c r="AI515" s="55"/>
      <c r="AJ515" s="55"/>
      <c r="AK515" s="55"/>
      <c r="AL515" s="55"/>
      <c r="AM515" s="55"/>
      <c r="AN515" s="63"/>
      <c r="AO515" s="64"/>
      <c r="AP515" s="61">
        <f>+N515-'Приложение №2'!E515</f>
        <v>0</v>
      </c>
      <c r="AQ515" s="65">
        <v>5284410.37</v>
      </c>
      <c r="AR515" s="3">
        <f>+(K515*13.95+L515*23.65)*12*0.85</f>
        <v>1070541.7140000002</v>
      </c>
      <c r="AS515" s="3">
        <f>+(K515*13.95+L515*23.65)*12*30</f>
        <v>37783825.200000003</v>
      </c>
      <c r="AT515" s="6">
        <f t="shared" si="152"/>
        <v>-31325627.280000001</v>
      </c>
      <c r="AU515" s="6" t="e">
        <v>#REF!</v>
      </c>
      <c r="AV515" s="6" t="e">
        <v>#REF!</v>
      </c>
      <c r="AW515" s="110">
        <f t="shared" si="149"/>
        <v>12813150</v>
      </c>
      <c r="AX515" s="55"/>
      <c r="AY515" s="55"/>
      <c r="AZ515" s="55"/>
      <c r="BA515" s="55"/>
      <c r="BB515" s="55"/>
      <c r="BC515" s="55"/>
      <c r="BD515" s="55"/>
      <c r="BE515" s="55">
        <v>12037390.646400001</v>
      </c>
      <c r="BF515" s="55"/>
      <c r="BG515" s="55"/>
      <c r="BH515" s="55"/>
      <c r="BI515" s="55"/>
      <c r="BJ515" s="55">
        <v>384394.5</v>
      </c>
      <c r="BK515" s="63">
        <v>128131.5</v>
      </c>
      <c r="BL515" s="64">
        <v>263233.35359999997</v>
      </c>
      <c r="BM515" s="110">
        <f t="shared" si="150"/>
        <v>12813150</v>
      </c>
      <c r="BN515" s="55"/>
      <c r="BO515" s="55"/>
      <c r="BP515" s="55"/>
      <c r="BQ515" s="55"/>
      <c r="BR515" s="55"/>
      <c r="BS515" s="55"/>
      <c r="BT515" s="55"/>
      <c r="BU515" s="55">
        <v>12037390.646400001</v>
      </c>
      <c r="BV515" s="55"/>
      <c r="BW515" s="55"/>
      <c r="BX515" s="55"/>
      <c r="BY515" s="55"/>
      <c r="BZ515" s="55">
        <v>384394.5</v>
      </c>
      <c r="CA515" s="63">
        <v>128131.5</v>
      </c>
      <c r="CB515" s="64">
        <v>263233.35359999997</v>
      </c>
      <c r="CD515" s="75"/>
      <c r="CE515" s="6"/>
    </row>
    <row r="516" spans="1:83" x14ac:dyDescent="0.25">
      <c r="A516" s="105">
        <f t="shared" si="151"/>
        <v>494</v>
      </c>
      <c r="B516" s="107">
        <f t="shared" si="157"/>
        <v>35</v>
      </c>
      <c r="C516" s="53" t="s">
        <v>75</v>
      </c>
      <c r="D516" s="53" t="s">
        <v>81</v>
      </c>
      <c r="E516" s="54">
        <v>1990</v>
      </c>
      <c r="F516" s="54">
        <v>2017</v>
      </c>
      <c r="G516" s="54" t="s">
        <v>64</v>
      </c>
      <c r="H516" s="54">
        <v>9</v>
      </c>
      <c r="I516" s="54">
        <v>1</v>
      </c>
      <c r="J516" s="55">
        <v>4531.3</v>
      </c>
      <c r="K516" s="55">
        <v>3818.4</v>
      </c>
      <c r="L516" s="55">
        <v>61.2</v>
      </c>
      <c r="M516" s="56">
        <v>144</v>
      </c>
      <c r="N516" s="112">
        <v>6643105.8300000001</v>
      </c>
      <c r="O516" s="55"/>
      <c r="P516" s="63"/>
      <c r="Q516" s="63"/>
      <c r="R516" s="62">
        <v>1443415.56</v>
      </c>
      <c r="S516" s="62">
        <v>5199690.2699999996</v>
      </c>
      <c r="T516" s="63"/>
      <c r="U516" s="63">
        <v>1712.3172055116299</v>
      </c>
      <c r="V516" s="63">
        <v>1712.3172055116299</v>
      </c>
      <c r="W516" s="59">
        <v>2024</v>
      </c>
      <c r="X516" s="6" t="e">
        <v>#REF!</v>
      </c>
      <c r="Z516" s="62">
        <f>SUM(AA516:AO516)</f>
        <v>27882965.040892042</v>
      </c>
      <c r="AA516" s="55">
        <v>9323379.5626275707</v>
      </c>
      <c r="AB516" s="55">
        <v>3730241.03536647</v>
      </c>
      <c r="AC516" s="55">
        <v>2755148.1765493699</v>
      </c>
      <c r="AD516" s="55">
        <v>1760665.9922058799</v>
      </c>
      <c r="AE516" s="55">
        <v>0</v>
      </c>
      <c r="AF516" s="55"/>
      <c r="AG516" s="55">
        <v>414224.74097732297</v>
      </c>
      <c r="AH516" s="55">
        <v>0</v>
      </c>
      <c r="AI516" s="55">
        <v>0</v>
      </c>
      <c r="AJ516" s="55">
        <v>6482652.3339526597</v>
      </c>
      <c r="AK516" s="55">
        <v>0</v>
      </c>
      <c r="AL516" s="55">
        <v>0</v>
      </c>
      <c r="AM516" s="55">
        <v>2602794.8614832498</v>
      </c>
      <c r="AN516" s="63">
        <v>278829.65040892002</v>
      </c>
      <c r="AO516" s="64">
        <v>535028.687320597</v>
      </c>
      <c r="AP516" s="61">
        <f>+N516-'Приложение №2'!E516</f>
        <v>-5.0291884690523148E-4</v>
      </c>
      <c r="AQ516" s="6">
        <f>1031818.0268-R31</f>
        <v>911743.01107340294</v>
      </c>
      <c r="AR516" s="3">
        <f>+(K516*13.29+L516*22.52)*12*0.85</f>
        <v>531672.55200000003</v>
      </c>
      <c r="AS516" s="3" t="e">
        <v>#REF!</v>
      </c>
      <c r="AT516" s="6" t="e">
        <f t="shared" si="152"/>
        <v>#REF!</v>
      </c>
      <c r="AU516" s="6" t="e">
        <v>#REF!</v>
      </c>
      <c r="AV516" s="6" t="e">
        <v>#REF!</v>
      </c>
      <c r="AW516" s="62">
        <f t="shared" si="149"/>
        <v>6643105.8305029189</v>
      </c>
      <c r="AX516" s="55"/>
      <c r="AY516" s="55"/>
      <c r="AZ516" s="55">
        <v>6582856.3200000003</v>
      </c>
      <c r="BA516" s="55"/>
      <c r="BB516" s="55"/>
      <c r="BC516" s="55"/>
      <c r="BD516" s="55"/>
      <c r="BE516" s="55">
        <v>0</v>
      </c>
      <c r="BF516" s="55">
        <v>0</v>
      </c>
      <c r="BG516" s="55"/>
      <c r="BH516" s="55">
        <v>0</v>
      </c>
      <c r="BI516" s="55">
        <v>0</v>
      </c>
      <c r="BJ516" s="55"/>
      <c r="BK516" s="63"/>
      <c r="BL516" s="64">
        <v>60249.510502919002</v>
      </c>
      <c r="BM516" s="62">
        <f t="shared" si="150"/>
        <v>6643105.8305029189</v>
      </c>
      <c r="BN516" s="55"/>
      <c r="BO516" s="55"/>
      <c r="BP516" s="55">
        <v>6582856.3200000003</v>
      </c>
      <c r="BQ516" s="55"/>
      <c r="BR516" s="55"/>
      <c r="BS516" s="55"/>
      <c r="BT516" s="55"/>
      <c r="BU516" s="55">
        <v>0</v>
      </c>
      <c r="BV516" s="55">
        <v>0</v>
      </c>
      <c r="BW516" s="55"/>
      <c r="BX516" s="55">
        <v>0</v>
      </c>
      <c r="BY516" s="55">
        <v>0</v>
      </c>
      <c r="BZ516" s="55"/>
      <c r="CA516" s="63"/>
      <c r="CB516" s="64">
        <v>60249.510502919002</v>
      </c>
      <c r="CD516" s="75"/>
      <c r="CE516" s="6"/>
    </row>
    <row r="517" spans="1:83" x14ac:dyDescent="0.25">
      <c r="A517" s="105">
        <f t="shared" si="151"/>
        <v>495</v>
      </c>
      <c r="B517" s="107">
        <f t="shared" si="157"/>
        <v>36</v>
      </c>
      <c r="C517" s="53" t="s">
        <v>75</v>
      </c>
      <c r="D517" s="53" t="s">
        <v>537</v>
      </c>
      <c r="E517" s="54" t="s">
        <v>506</v>
      </c>
      <c r="F517" s="54"/>
      <c r="G517" s="54" t="s">
        <v>64</v>
      </c>
      <c r="H517" s="54" t="s">
        <v>123</v>
      </c>
      <c r="I517" s="54" t="s">
        <v>229</v>
      </c>
      <c r="J517" s="55">
        <v>3391</v>
      </c>
      <c r="K517" s="55">
        <v>2799.1</v>
      </c>
      <c r="L517" s="55">
        <v>0</v>
      </c>
      <c r="M517" s="56">
        <v>93</v>
      </c>
      <c r="N517" s="112">
        <v>4271050</v>
      </c>
      <c r="O517" s="55"/>
      <c r="P517" s="63"/>
      <c r="Q517" s="63"/>
      <c r="R517" s="62">
        <v>2518896.12</v>
      </c>
      <c r="S517" s="62">
        <v>1752153.88</v>
      </c>
      <c r="T517" s="63"/>
      <c r="U517" s="63">
        <v>1525.86545675396</v>
      </c>
      <c r="V517" s="63">
        <v>1525.86545675396</v>
      </c>
      <c r="W517" s="59">
        <v>2024</v>
      </c>
      <c r="X517" s="6"/>
      <c r="Z517" s="62"/>
      <c r="AA517" s="55"/>
      <c r="AB517" s="55"/>
      <c r="AC517" s="55"/>
      <c r="AD517" s="55"/>
      <c r="AE517" s="55"/>
      <c r="AF517" s="55"/>
      <c r="AG517" s="55"/>
      <c r="AH517" s="55"/>
      <c r="AI517" s="55"/>
      <c r="AJ517" s="55"/>
      <c r="AK517" s="55"/>
      <c r="AL517" s="55"/>
      <c r="AM517" s="55"/>
      <c r="AN517" s="63"/>
      <c r="AO517" s="64"/>
      <c r="AP517" s="61">
        <f>+N517-'Приложение №2'!E517</f>
        <v>0</v>
      </c>
      <c r="AQ517" s="1">
        <v>2120612.1800000002</v>
      </c>
      <c r="AR517" s="3">
        <f>+(K517*13.95+L517*23.65)*12*0.85</f>
        <v>398283.93899999995</v>
      </c>
      <c r="AS517" s="3">
        <f>+(K517*13.95+L517*23.65)*12*30</f>
        <v>14057080.199999999</v>
      </c>
      <c r="AT517" s="6">
        <f t="shared" si="152"/>
        <v>-12304926.32</v>
      </c>
      <c r="AU517" s="6"/>
      <c r="AV517" s="6"/>
      <c r="AW517" s="110">
        <f t="shared" si="149"/>
        <v>4271050</v>
      </c>
      <c r="AX517" s="55"/>
      <c r="AY517" s="55"/>
      <c r="AZ517" s="55"/>
      <c r="BA517" s="55"/>
      <c r="BB517" s="55"/>
      <c r="BC517" s="55"/>
      <c r="BD517" s="55"/>
      <c r="BE517" s="55">
        <v>4012463.5488</v>
      </c>
      <c r="BF517" s="55"/>
      <c r="BG517" s="55"/>
      <c r="BH517" s="55"/>
      <c r="BI517" s="55"/>
      <c r="BJ517" s="55">
        <v>128131.5</v>
      </c>
      <c r="BK517" s="63">
        <v>42710.5</v>
      </c>
      <c r="BL517" s="64">
        <v>87744.451199999996</v>
      </c>
      <c r="BM517" s="110">
        <f t="shared" si="150"/>
        <v>4271050</v>
      </c>
      <c r="BN517" s="55"/>
      <c r="BO517" s="55"/>
      <c r="BP517" s="55"/>
      <c r="BQ517" s="55"/>
      <c r="BR517" s="55"/>
      <c r="BS517" s="55"/>
      <c r="BT517" s="55"/>
      <c r="BU517" s="55">
        <v>4012463.5488</v>
      </c>
      <c r="BV517" s="55"/>
      <c r="BW517" s="55"/>
      <c r="BX517" s="55"/>
      <c r="BY517" s="55"/>
      <c r="BZ517" s="55">
        <v>128131.5</v>
      </c>
      <c r="CA517" s="63">
        <v>42710.5</v>
      </c>
      <c r="CB517" s="64">
        <v>87744.451199999996</v>
      </c>
      <c r="CD517" s="75"/>
      <c r="CE517" s="6"/>
    </row>
    <row r="518" spans="1:83" x14ac:dyDescent="0.25">
      <c r="A518" s="105">
        <f t="shared" si="151"/>
        <v>496</v>
      </c>
      <c r="B518" s="107">
        <f t="shared" si="157"/>
        <v>37</v>
      </c>
      <c r="C518" s="53" t="s">
        <v>75</v>
      </c>
      <c r="D518" s="53" t="s">
        <v>538</v>
      </c>
      <c r="E518" s="54">
        <v>1984</v>
      </c>
      <c r="F518" s="54">
        <v>2016</v>
      </c>
      <c r="G518" s="54" t="s">
        <v>64</v>
      </c>
      <c r="H518" s="54">
        <v>5</v>
      </c>
      <c r="I518" s="54">
        <v>3</v>
      </c>
      <c r="J518" s="55">
        <v>5122</v>
      </c>
      <c r="K518" s="55">
        <v>4380.8500000000004</v>
      </c>
      <c r="L518" s="55">
        <v>19</v>
      </c>
      <c r="M518" s="56">
        <v>187</v>
      </c>
      <c r="N518" s="112">
        <v>5085565.87</v>
      </c>
      <c r="O518" s="55"/>
      <c r="P518" s="62">
        <v>2375276.4700000002</v>
      </c>
      <c r="Q518" s="63"/>
      <c r="R518" s="62">
        <v>2523266.9500000002</v>
      </c>
      <c r="S518" s="62">
        <v>187022.45</v>
      </c>
      <c r="T518" s="63"/>
      <c r="U518" s="63">
        <v>1155.84982928258</v>
      </c>
      <c r="V518" s="63">
        <v>1155.84982928258</v>
      </c>
      <c r="W518" s="59">
        <v>2024</v>
      </c>
      <c r="X518" s="6" t="e">
        <v>#REF!</v>
      </c>
      <c r="Z518" s="62">
        <f t="shared" ref="Z518:Z537" si="158">SUM(AA518:AO518)</f>
        <v>20776720.738175966</v>
      </c>
      <c r="AA518" s="55">
        <v>0</v>
      </c>
      <c r="AB518" s="55">
        <v>0</v>
      </c>
      <c r="AC518" s="55">
        <v>0</v>
      </c>
      <c r="AD518" s="55">
        <v>0</v>
      </c>
      <c r="AE518" s="55">
        <v>0</v>
      </c>
      <c r="AF518" s="55"/>
      <c r="AG518" s="55">
        <v>0</v>
      </c>
      <c r="AH518" s="55">
        <v>0</v>
      </c>
      <c r="AI518" s="55">
        <v>0</v>
      </c>
      <c r="AJ518" s="55">
        <v>0</v>
      </c>
      <c r="AK518" s="55">
        <v>20147945.946807001</v>
      </c>
      <c r="AL518" s="55">
        <v>0</v>
      </c>
      <c r="AM518" s="55">
        <v>164180.01999999999</v>
      </c>
      <c r="AN518" s="55">
        <v>24000</v>
      </c>
      <c r="AO518" s="64">
        <v>440594.77136896597</v>
      </c>
      <c r="AP518" s="61">
        <f>+N518-'Приложение №2'!E518</f>
        <v>-1.3689650222659111E-3</v>
      </c>
      <c r="AQ518" s="1">
        <v>2072544.25</v>
      </c>
      <c r="AR518" s="3">
        <f>+(K518*10+L518*20)*12*0.85</f>
        <v>450722.7</v>
      </c>
      <c r="AS518" s="3">
        <f>+(K518*10+L518*20)*12*30</f>
        <v>15907860</v>
      </c>
      <c r="AT518" s="6">
        <f t="shared" si="152"/>
        <v>-15720837.550000001</v>
      </c>
      <c r="AU518" s="6" t="e">
        <v>#REF!</v>
      </c>
      <c r="AV518" s="6" t="e">
        <v>#REF!</v>
      </c>
      <c r="AW518" s="62">
        <f t="shared" si="149"/>
        <v>5085565.8713689651</v>
      </c>
      <c r="AX518" s="55">
        <v>0</v>
      </c>
      <c r="AY518" s="55">
        <v>0</v>
      </c>
      <c r="AZ518" s="55">
        <v>0</v>
      </c>
      <c r="BA518" s="55">
        <v>0</v>
      </c>
      <c r="BB518" s="55">
        <v>0</v>
      </c>
      <c r="BC518" s="55"/>
      <c r="BD518" s="55"/>
      <c r="BE518" s="55">
        <v>0</v>
      </c>
      <c r="BF518" s="55">
        <v>0</v>
      </c>
      <c r="BG518" s="55">
        <v>0</v>
      </c>
      <c r="BH518" s="55">
        <v>4644971.0999999996</v>
      </c>
      <c r="BI518" s="55">
        <v>0</v>
      </c>
      <c r="BL518" s="64">
        <v>440594.77136896597</v>
      </c>
      <c r="BM518" s="62">
        <f t="shared" si="150"/>
        <v>5085565.8713689651</v>
      </c>
      <c r="BN518" s="55">
        <v>0</v>
      </c>
      <c r="BO518" s="55">
        <v>0</v>
      </c>
      <c r="BP518" s="55">
        <v>0</v>
      </c>
      <c r="BQ518" s="55">
        <v>0</v>
      </c>
      <c r="BR518" s="55">
        <v>0</v>
      </c>
      <c r="BS518" s="55"/>
      <c r="BT518" s="55"/>
      <c r="BU518" s="55">
        <v>0</v>
      </c>
      <c r="BV518" s="55">
        <v>0</v>
      </c>
      <c r="BW518" s="55">
        <v>0</v>
      </c>
      <c r="BX518" s="55">
        <v>4644971.0999999996</v>
      </c>
      <c r="BY518" s="55">
        <v>0</v>
      </c>
      <c r="CB518" s="64">
        <v>440594.77136896597</v>
      </c>
      <c r="CD518" s="75"/>
      <c r="CE518" s="6"/>
    </row>
    <row r="519" spans="1:83" x14ac:dyDescent="0.25">
      <c r="A519" s="105">
        <f t="shared" si="151"/>
        <v>497</v>
      </c>
      <c r="B519" s="107">
        <f t="shared" si="157"/>
        <v>38</v>
      </c>
      <c r="C519" s="53" t="s">
        <v>75</v>
      </c>
      <c r="D519" s="53" t="s">
        <v>539</v>
      </c>
      <c r="E519" s="54">
        <v>1986</v>
      </c>
      <c r="F519" s="54">
        <v>2017</v>
      </c>
      <c r="G519" s="54" t="s">
        <v>64</v>
      </c>
      <c r="H519" s="54">
        <v>5</v>
      </c>
      <c r="I519" s="54">
        <v>4</v>
      </c>
      <c r="J519" s="55">
        <v>5725</v>
      </c>
      <c r="K519" s="55">
        <v>4812.8</v>
      </c>
      <c r="L519" s="55">
        <v>0</v>
      </c>
      <c r="M519" s="56">
        <v>190</v>
      </c>
      <c r="N519" s="112">
        <v>22291419.960000001</v>
      </c>
      <c r="O519" s="55"/>
      <c r="P519" s="63"/>
      <c r="Q519" s="63"/>
      <c r="R519" s="62">
        <v>3499339.1</v>
      </c>
      <c r="S519" s="62">
        <v>18792080.859999999</v>
      </c>
      <c r="T519" s="63"/>
      <c r="U519" s="63">
        <v>4497.3522371131503</v>
      </c>
      <c r="V519" s="63">
        <v>4497.3522371131503</v>
      </c>
      <c r="W519" s="59">
        <v>2024</v>
      </c>
      <c r="X519" s="6" t="e">
        <v>#REF!</v>
      </c>
      <c r="Z519" s="62">
        <f t="shared" si="158"/>
        <v>15251119.821010934</v>
      </c>
      <c r="AA519" s="55">
        <v>9517364.6367539503</v>
      </c>
      <c r="AB519" s="55">
        <v>0</v>
      </c>
      <c r="AC519" s="55">
        <v>0</v>
      </c>
      <c r="AD519" s="55">
        <v>3840848.9230281399</v>
      </c>
      <c r="AE519" s="55">
        <v>0</v>
      </c>
      <c r="AF519" s="55"/>
      <c r="AG519" s="55">
        <v>0</v>
      </c>
      <c r="AH519" s="55">
        <v>0</v>
      </c>
      <c r="AI519" s="55">
        <v>0</v>
      </c>
      <c r="AJ519" s="55">
        <v>0</v>
      </c>
      <c r="AK519" s="55">
        <v>0</v>
      </c>
      <c r="AL519" s="55">
        <v>0</v>
      </c>
      <c r="AM519" s="55">
        <v>1448277.9874216199</v>
      </c>
      <c r="AN519" s="63">
        <v>152511.198210109</v>
      </c>
      <c r="AO519" s="64">
        <v>292117.07559711498</v>
      </c>
      <c r="AP519" s="61">
        <f>+N519-'Приложение №2'!E519</f>
        <v>4.304051399230957E-4</v>
      </c>
      <c r="AQ519" s="1">
        <v>2983888.22</v>
      </c>
      <c r="AR519" s="3">
        <f>+(K519*10.5+L519*21)*12*0.85</f>
        <v>515450.88</v>
      </c>
      <c r="AS519" s="3">
        <f>+(K519*10.5+L519*21)*12*30</f>
        <v>18192384</v>
      </c>
      <c r="AT519" s="6">
        <f t="shared" si="152"/>
        <v>599696.8599999994</v>
      </c>
      <c r="AU519" s="6" t="e">
        <v>#REF!</v>
      </c>
      <c r="AV519" s="6" t="e">
        <v>#REF!</v>
      </c>
      <c r="AW519" s="110">
        <f t="shared" si="149"/>
        <v>21644856.846778173</v>
      </c>
      <c r="AX519" s="55">
        <v>16085062.249059699</v>
      </c>
      <c r="AY519" s="55">
        <v>0</v>
      </c>
      <c r="AZ519" s="55">
        <v>0</v>
      </c>
      <c r="BA519" s="55">
        <v>4577070.55720858</v>
      </c>
      <c r="BB519" s="55">
        <v>0</v>
      </c>
      <c r="BC519" s="55"/>
      <c r="BD519" s="55">
        <v>519524.10398884001</v>
      </c>
      <c r="BE519" s="55">
        <v>0</v>
      </c>
      <c r="BF519" s="55">
        <v>0</v>
      </c>
      <c r="BG519" s="55">
        <v>0</v>
      </c>
      <c r="BH519" s="55">
        <v>0</v>
      </c>
      <c r="BI519" s="55">
        <v>0</v>
      </c>
      <c r="BJ519" s="55"/>
      <c r="BK519" s="63"/>
      <c r="BL519" s="64">
        <v>463199.93652105302</v>
      </c>
      <c r="BM519" s="110">
        <f t="shared" si="150"/>
        <v>21644856.846778173</v>
      </c>
      <c r="BN519" s="55">
        <v>16085062.249059699</v>
      </c>
      <c r="BO519" s="55">
        <v>0</v>
      </c>
      <c r="BP519" s="55">
        <v>0</v>
      </c>
      <c r="BQ519" s="55">
        <v>4577070.55720858</v>
      </c>
      <c r="BR519" s="55">
        <v>0</v>
      </c>
      <c r="BS519" s="55"/>
      <c r="BT519" s="55">
        <v>519524.10398884001</v>
      </c>
      <c r="BU519" s="55">
        <v>0</v>
      </c>
      <c r="BV519" s="55">
        <v>0</v>
      </c>
      <c r="BW519" s="55">
        <v>0</v>
      </c>
      <c r="BX519" s="55">
        <v>0</v>
      </c>
      <c r="BY519" s="55">
        <v>0</v>
      </c>
      <c r="BZ519" s="55"/>
      <c r="CA519" s="63"/>
      <c r="CB519" s="64">
        <v>463199.93652105302</v>
      </c>
      <c r="CD519" s="75"/>
      <c r="CE519" s="6"/>
    </row>
    <row r="520" spans="1:83" x14ac:dyDescent="0.25">
      <c r="A520" s="105">
        <f t="shared" si="151"/>
        <v>498</v>
      </c>
      <c r="B520" s="107">
        <f t="shared" si="157"/>
        <v>39</v>
      </c>
      <c r="C520" s="53" t="s">
        <v>75</v>
      </c>
      <c r="D520" s="53" t="s">
        <v>540</v>
      </c>
      <c r="E520" s="54">
        <v>1984</v>
      </c>
      <c r="F520" s="54">
        <v>2012</v>
      </c>
      <c r="G520" s="54" t="s">
        <v>64</v>
      </c>
      <c r="H520" s="54">
        <v>5</v>
      </c>
      <c r="I520" s="54">
        <v>2</v>
      </c>
      <c r="J520" s="55">
        <v>4407.8500000000004</v>
      </c>
      <c r="K520" s="55">
        <v>2910.8</v>
      </c>
      <c r="L520" s="55">
        <v>859.6</v>
      </c>
      <c r="M520" s="56">
        <v>176</v>
      </c>
      <c r="N520" s="112">
        <v>21190509.699999999</v>
      </c>
      <c r="O520" s="55"/>
      <c r="P520" s="62">
        <v>453049.84</v>
      </c>
      <c r="Q520" s="63"/>
      <c r="R520" s="62">
        <v>1917627.07</v>
      </c>
      <c r="S520" s="62">
        <v>16553013.43</v>
      </c>
      <c r="T520" s="62">
        <v>2266819.36</v>
      </c>
      <c r="U520" s="63">
        <v>7279.9607317575901</v>
      </c>
      <c r="V520" s="63">
        <v>1192.2830200640001</v>
      </c>
      <c r="W520" s="59">
        <v>2024</v>
      </c>
      <c r="X520" s="6" t="e">
        <v>#REF!</v>
      </c>
      <c r="Z520" s="62">
        <f t="shared" si="158"/>
        <v>17771005.920376763</v>
      </c>
      <c r="AA520" s="55">
        <v>0</v>
      </c>
      <c r="AB520" s="55">
        <v>0</v>
      </c>
      <c r="AC520" s="55">
        <v>0</v>
      </c>
      <c r="AD520" s="55">
        <v>0</v>
      </c>
      <c r="AE520" s="55">
        <v>0</v>
      </c>
      <c r="AF520" s="55"/>
      <c r="AG520" s="55">
        <v>0</v>
      </c>
      <c r="AH520" s="55">
        <v>0</v>
      </c>
      <c r="AI520" s="55">
        <v>0</v>
      </c>
      <c r="AJ520" s="55">
        <v>0</v>
      </c>
      <c r="AK520" s="55">
        <v>17217505.868378699</v>
      </c>
      <c r="AL520" s="55">
        <v>0</v>
      </c>
      <c r="AM520" s="1">
        <v>152988.07</v>
      </c>
      <c r="AN520" s="55">
        <v>24000</v>
      </c>
      <c r="AO520" s="64">
        <v>376511.98199806397</v>
      </c>
      <c r="AP520" s="61">
        <f>+N520-'Приложение №2'!E520</f>
        <v>2.0000003278255463E-3</v>
      </c>
      <c r="AQ520" s="1">
        <f>2730203.82-1308449.75</f>
        <v>1421754.0699999998</v>
      </c>
      <c r="AR520" s="3">
        <f>+(K520*10.5+L520*21)*12*0.85</f>
        <v>495873</v>
      </c>
      <c r="AS520" s="3">
        <f>+(K520*10.5+L520*21)*12*30-948386.57</f>
        <v>16553013.43</v>
      </c>
      <c r="AT520" s="6">
        <f t="shared" si="152"/>
        <v>0</v>
      </c>
      <c r="AU520" s="6" t="e">
        <v>#REF!</v>
      </c>
      <c r="AV520" s="6" t="e">
        <v>#REF!</v>
      </c>
      <c r="AW520" s="110">
        <f t="shared" si="149"/>
        <v>21190509.697999999</v>
      </c>
      <c r="AX520" s="55">
        <v>0</v>
      </c>
      <c r="AY520" s="55">
        <v>0</v>
      </c>
      <c r="AZ520" s="55">
        <v>0</v>
      </c>
      <c r="BA520" s="55">
        <v>0</v>
      </c>
      <c r="BB520" s="55">
        <v>0</v>
      </c>
      <c r="BC520" s="55"/>
      <c r="BD520" s="55"/>
      <c r="BE520" s="55">
        <v>0</v>
      </c>
      <c r="BF520" s="55">
        <v>0</v>
      </c>
      <c r="BG520" s="55">
        <v>0</v>
      </c>
      <c r="BH520" s="55">
        <v>20737032.790462799</v>
      </c>
      <c r="BI520" s="55">
        <v>0</v>
      </c>
      <c r="BK520" s="55"/>
      <c r="BL520" s="64">
        <v>453476.90753720002</v>
      </c>
      <c r="BM520" s="110">
        <f t="shared" si="150"/>
        <v>21190509.697999999</v>
      </c>
      <c r="BN520" s="55">
        <v>0</v>
      </c>
      <c r="BO520" s="55">
        <v>0</v>
      </c>
      <c r="BP520" s="55">
        <v>0</v>
      </c>
      <c r="BQ520" s="55">
        <v>0</v>
      </c>
      <c r="BR520" s="55">
        <v>0</v>
      </c>
      <c r="BS520" s="55"/>
      <c r="BT520" s="55"/>
      <c r="BU520" s="55">
        <v>0</v>
      </c>
      <c r="BV520" s="55">
        <v>0</v>
      </c>
      <c r="BW520" s="55">
        <v>0</v>
      </c>
      <c r="BX520" s="55">
        <v>20737032.790462799</v>
      </c>
      <c r="BY520" s="55">
        <v>0</v>
      </c>
      <c r="CA520" s="55"/>
      <c r="CB520" s="64">
        <v>453476.90753720002</v>
      </c>
      <c r="CD520" s="75"/>
      <c r="CE520" s="6"/>
    </row>
    <row r="521" spans="1:83" x14ac:dyDescent="0.25">
      <c r="A521" s="105">
        <f t="shared" si="151"/>
        <v>499</v>
      </c>
      <c r="B521" s="107">
        <f t="shared" si="157"/>
        <v>40</v>
      </c>
      <c r="C521" s="53" t="s">
        <v>75</v>
      </c>
      <c r="D521" s="53" t="s">
        <v>541</v>
      </c>
      <c r="E521" s="54">
        <v>1988</v>
      </c>
      <c r="F521" s="54">
        <v>2016</v>
      </c>
      <c r="G521" s="54" t="s">
        <v>64</v>
      </c>
      <c r="H521" s="54">
        <v>5</v>
      </c>
      <c r="I521" s="54">
        <v>2</v>
      </c>
      <c r="J521" s="55">
        <v>4366.2</v>
      </c>
      <c r="K521" s="55">
        <v>3056.1</v>
      </c>
      <c r="L521" s="55">
        <v>725.4</v>
      </c>
      <c r="M521" s="56">
        <v>194</v>
      </c>
      <c r="N521" s="112">
        <v>4331012.6900000004</v>
      </c>
      <c r="O521" s="55"/>
      <c r="P521" s="62">
        <v>1916900.57</v>
      </c>
      <c r="Q521" s="63"/>
      <c r="R521" s="63"/>
      <c r="S521" s="62">
        <v>2414112.12</v>
      </c>
      <c r="T521" s="113"/>
      <c r="U521" s="63">
        <v>5190.8994681580698</v>
      </c>
      <c r="V521" s="63">
        <v>1195.2830200640001</v>
      </c>
      <c r="W521" s="59">
        <v>2024</v>
      </c>
      <c r="X521" s="6" t="e">
        <v>#REF!</v>
      </c>
      <c r="Z521" s="62">
        <f t="shared" si="158"/>
        <v>32902312.260541555</v>
      </c>
      <c r="AA521" s="55">
        <v>7411972.1890023202</v>
      </c>
      <c r="AB521" s="55">
        <v>0</v>
      </c>
      <c r="AC521" s="55">
        <v>0</v>
      </c>
      <c r="AD521" s="55">
        <v>0</v>
      </c>
      <c r="AE521" s="55">
        <v>0</v>
      </c>
      <c r="AF521" s="55"/>
      <c r="AG521" s="55">
        <v>307734.96652411402</v>
      </c>
      <c r="AH521" s="55">
        <v>0</v>
      </c>
      <c r="AI521" s="55">
        <v>0</v>
      </c>
      <c r="AJ521" s="55">
        <v>5603434.9428537497</v>
      </c>
      <c r="AK521" s="55">
        <v>15524420.2363346</v>
      </c>
      <c r="AL521" s="55">
        <v>0</v>
      </c>
      <c r="AM521" s="55">
        <v>3094889.0411501299</v>
      </c>
      <c r="AN521" s="63">
        <v>329023.12260541599</v>
      </c>
      <c r="AO521" s="64">
        <v>630837.76207122102</v>
      </c>
      <c r="AP521" s="61">
        <f>+N521-'Приложение №2'!E521</f>
        <v>1.6967505216598511E-3</v>
      </c>
      <c r="AQ521" s="65">
        <v>2495551.27</v>
      </c>
      <c r="AR521" s="3">
        <f>+(K521*10.5+L521*21)*12*0.85</f>
        <v>482688.98999999993</v>
      </c>
      <c r="AS521" s="3">
        <f>+(K521*10.5+L521*21)*12*30</f>
        <v>17036081.999999996</v>
      </c>
      <c r="AT521" s="6">
        <f t="shared" ref="AT521:AT552" si="159">+S521-AS521</f>
        <v>-14621969.879999995</v>
      </c>
      <c r="AU521" s="6" t="e">
        <v>#REF!</v>
      </c>
      <c r="AV521" s="6" t="e">
        <v>#REF!</v>
      </c>
      <c r="AW521" s="110">
        <f t="shared" si="149"/>
        <v>15863907.86463785</v>
      </c>
      <c r="AX521" s="55"/>
      <c r="AY521" s="55">
        <v>0</v>
      </c>
      <c r="AZ521" s="55">
        <v>0</v>
      </c>
      <c r="BA521" s="55">
        <v>0</v>
      </c>
      <c r="BB521" s="55">
        <v>0</v>
      </c>
      <c r="BC521" s="55"/>
      <c r="BD521" s="55"/>
      <c r="BE521" s="55"/>
      <c r="BF521" s="55"/>
      <c r="BG521" s="55"/>
      <c r="BH521" s="55">
        <v>15524420.2363346</v>
      </c>
      <c r="BI521" s="55">
        <v>0</v>
      </c>
      <c r="BJ521" s="55"/>
      <c r="BK521" s="63"/>
      <c r="BL521" s="111">
        <v>339487.62830325001</v>
      </c>
      <c r="BM521" s="110">
        <f t="shared" si="150"/>
        <v>15863907.86463785</v>
      </c>
      <c r="BN521" s="55"/>
      <c r="BO521" s="55">
        <v>0</v>
      </c>
      <c r="BP521" s="55">
        <v>0</v>
      </c>
      <c r="BQ521" s="55">
        <v>0</v>
      </c>
      <c r="BR521" s="55">
        <v>0</v>
      </c>
      <c r="BS521" s="55"/>
      <c r="BT521" s="55"/>
      <c r="BU521" s="55"/>
      <c r="BV521" s="55"/>
      <c r="BW521" s="55"/>
      <c r="BX521" s="55">
        <v>15524420.2363346</v>
      </c>
      <c r="BY521" s="55">
        <v>0</v>
      </c>
      <c r="BZ521" s="55"/>
      <c r="CA521" s="63"/>
      <c r="CB521" s="64">
        <v>339487.62830325001</v>
      </c>
      <c r="CD521" s="75"/>
      <c r="CE521" s="6"/>
    </row>
    <row r="522" spans="1:83" x14ac:dyDescent="0.25">
      <c r="A522" s="105">
        <f t="shared" si="151"/>
        <v>500</v>
      </c>
      <c r="B522" s="107">
        <f t="shared" si="157"/>
        <v>41</v>
      </c>
      <c r="C522" s="53" t="s">
        <v>75</v>
      </c>
      <c r="D522" s="53" t="s">
        <v>542</v>
      </c>
      <c r="E522" s="54">
        <v>1984</v>
      </c>
      <c r="F522" s="54">
        <v>2017</v>
      </c>
      <c r="G522" s="54" t="s">
        <v>64</v>
      </c>
      <c r="H522" s="54">
        <v>5</v>
      </c>
      <c r="I522" s="54">
        <v>5</v>
      </c>
      <c r="J522" s="55">
        <v>5852.2</v>
      </c>
      <c r="K522" s="55">
        <v>4921.1000000000004</v>
      </c>
      <c r="L522" s="55">
        <v>51.7</v>
      </c>
      <c r="M522" s="56">
        <v>171</v>
      </c>
      <c r="N522" s="112">
        <v>3925263.29</v>
      </c>
      <c r="O522" s="55"/>
      <c r="P522" s="63"/>
      <c r="Q522" s="63"/>
      <c r="R522" s="62">
        <v>1586967.39</v>
      </c>
      <c r="S522" s="62">
        <v>2338295.9</v>
      </c>
      <c r="T522" s="63"/>
      <c r="U522" s="55">
        <v>789.34670463196903</v>
      </c>
      <c r="V522" s="55">
        <v>789.34670463196903</v>
      </c>
      <c r="W522" s="59">
        <v>2024</v>
      </c>
      <c r="X522" s="6" t="e">
        <v>#REF!</v>
      </c>
      <c r="Z522" s="62">
        <f t="shared" si="158"/>
        <v>4410408.1941504022</v>
      </c>
      <c r="AA522" s="55">
        <v>0</v>
      </c>
      <c r="AB522" s="55">
        <v>0</v>
      </c>
      <c r="AC522" s="55">
        <v>3841262.6583280698</v>
      </c>
      <c r="AD522" s="55">
        <v>0</v>
      </c>
      <c r="AE522" s="55">
        <v>0</v>
      </c>
      <c r="AF522" s="55"/>
      <c r="AG522" s="55">
        <v>0</v>
      </c>
      <c r="AH522" s="55">
        <v>0</v>
      </c>
      <c r="AI522" s="55">
        <v>0</v>
      </c>
      <c r="AJ522" s="55">
        <v>0</v>
      </c>
      <c r="AK522" s="55">
        <v>0</v>
      </c>
      <c r="AL522" s="55">
        <v>0</v>
      </c>
      <c r="AM522" s="55">
        <v>441040.81941504002</v>
      </c>
      <c r="AN522" s="63">
        <v>44104.081941504002</v>
      </c>
      <c r="AO522" s="64">
        <v>84000.634465788506</v>
      </c>
      <c r="AP522" s="61">
        <f>+N522-'Приложение №2'!E522</f>
        <v>-2.7938582934439182E-3</v>
      </c>
      <c r="AQ522" s="1">
        <f>2251183.06-1176714.67</f>
        <v>1074468.3900000001</v>
      </c>
      <c r="AR522" s="3">
        <f>+(K522*10+L522*20)*12*0.85</f>
        <v>512499</v>
      </c>
      <c r="AS522" s="3">
        <f>+(K522*10+L522*20)*12*30</f>
        <v>18088200</v>
      </c>
      <c r="AT522" s="6">
        <f t="shared" si="159"/>
        <v>-15749904.1</v>
      </c>
      <c r="AU522" s="6" t="e">
        <v>#REF!</v>
      </c>
      <c r="AV522" s="6" t="e">
        <v>#REF!</v>
      </c>
      <c r="AW522" s="62">
        <f t="shared" si="149"/>
        <v>3925263.2927938583</v>
      </c>
      <c r="AX522" s="55">
        <v>0</v>
      </c>
      <c r="AY522" s="55">
        <v>0</v>
      </c>
      <c r="AZ522" s="55">
        <v>3841262.6583280698</v>
      </c>
      <c r="BA522" s="55">
        <v>0</v>
      </c>
      <c r="BB522" s="55">
        <v>0</v>
      </c>
      <c r="BC522" s="55"/>
      <c r="BD522" s="55"/>
      <c r="BE522" s="55">
        <v>0</v>
      </c>
      <c r="BF522" s="55">
        <v>0</v>
      </c>
      <c r="BG522" s="55">
        <v>0</v>
      </c>
      <c r="BH522" s="55">
        <v>0</v>
      </c>
      <c r="BI522" s="55">
        <v>0</v>
      </c>
      <c r="BJ522" s="55"/>
      <c r="BK522" s="63"/>
      <c r="BL522" s="64">
        <v>84000.634465788506</v>
      </c>
      <c r="BM522" s="62">
        <f t="shared" si="150"/>
        <v>3925263.2927938583</v>
      </c>
      <c r="BN522" s="55">
        <v>0</v>
      </c>
      <c r="BO522" s="55">
        <v>0</v>
      </c>
      <c r="BP522" s="55">
        <v>3841262.6583280698</v>
      </c>
      <c r="BQ522" s="55">
        <v>0</v>
      </c>
      <c r="BR522" s="55">
        <v>0</v>
      </c>
      <c r="BS522" s="55"/>
      <c r="BT522" s="55"/>
      <c r="BU522" s="55">
        <v>0</v>
      </c>
      <c r="BV522" s="55">
        <v>0</v>
      </c>
      <c r="BW522" s="55">
        <v>0</v>
      </c>
      <c r="BX522" s="55">
        <v>0</v>
      </c>
      <c r="BY522" s="55">
        <v>0</v>
      </c>
      <c r="BZ522" s="55"/>
      <c r="CA522" s="63"/>
      <c r="CB522" s="64">
        <v>84000.634465788506</v>
      </c>
      <c r="CD522" s="75"/>
      <c r="CE522" s="6"/>
    </row>
    <row r="523" spans="1:83" x14ac:dyDescent="0.25">
      <c r="A523" s="105">
        <f t="shared" si="151"/>
        <v>501</v>
      </c>
      <c r="B523" s="107">
        <f t="shared" si="157"/>
        <v>42</v>
      </c>
      <c r="C523" s="53" t="s">
        <v>75</v>
      </c>
      <c r="D523" s="53" t="s">
        <v>84</v>
      </c>
      <c r="E523" s="54">
        <v>1981</v>
      </c>
      <c r="F523" s="54">
        <v>2016</v>
      </c>
      <c r="G523" s="54" t="s">
        <v>64</v>
      </c>
      <c r="H523" s="54">
        <v>4</v>
      </c>
      <c r="I523" s="54">
        <v>3</v>
      </c>
      <c r="J523" s="55">
        <v>3910.2</v>
      </c>
      <c r="K523" s="55">
        <v>2017.9</v>
      </c>
      <c r="L523" s="55">
        <v>997.9</v>
      </c>
      <c r="M523" s="56">
        <v>113</v>
      </c>
      <c r="N523" s="112">
        <v>3065056.8</v>
      </c>
      <c r="O523" s="55"/>
      <c r="P523" s="62">
        <v>749476.05</v>
      </c>
      <c r="Q523" s="63"/>
      <c r="R523" s="62">
        <v>860268.38</v>
      </c>
      <c r="S523" s="62">
        <v>1455312.37</v>
      </c>
      <c r="T523" s="63"/>
      <c r="U523" s="63">
        <v>1518.9339410406501</v>
      </c>
      <c r="V523" s="63">
        <v>1197.2830200640001</v>
      </c>
      <c r="W523" s="59">
        <v>2024</v>
      </c>
      <c r="X523" s="6" t="e">
        <v>#REF!</v>
      </c>
      <c r="Z523" s="62">
        <f t="shared" si="158"/>
        <v>33549604.466355488</v>
      </c>
      <c r="AA523" s="55">
        <v>9163753.0558547899</v>
      </c>
      <c r="AB523" s="55">
        <v>4716823.2</v>
      </c>
      <c r="AC523" s="55">
        <v>2695930.7316036099</v>
      </c>
      <c r="AD523" s="55">
        <v>0</v>
      </c>
      <c r="AE523" s="55">
        <v>0</v>
      </c>
      <c r="AF523" s="55"/>
      <c r="AG523" s="55">
        <v>295975.88879684103</v>
      </c>
      <c r="AH523" s="55">
        <v>0</v>
      </c>
      <c r="AI523" s="55">
        <v>13238455.132672099</v>
      </c>
      <c r="AJ523" s="55">
        <v>0</v>
      </c>
      <c r="AK523" s="55">
        <v>0</v>
      </c>
      <c r="AL523" s="55">
        <v>0</v>
      </c>
      <c r="AM523" s="55">
        <v>2552926.0485136802</v>
      </c>
      <c r="AN523" s="63">
        <v>295470.26754077501</v>
      </c>
      <c r="AO523" s="64">
        <v>590270.14137369301</v>
      </c>
      <c r="AP523" s="61">
        <f>+N523-'Приложение №2'!E523</f>
        <v>3.7407409399747849E-4</v>
      </c>
      <c r="AQ523" s="6">
        <f>1237078.21-R34</f>
        <v>430401.11</v>
      </c>
      <c r="AR523" s="3">
        <f>+(K523*10.5+L523*21)*12*0.85</f>
        <v>429867.26999999996</v>
      </c>
      <c r="AS523" s="3">
        <f>+(K523*10.5+L523*21)*12*30-S34</f>
        <v>5420245.103543859</v>
      </c>
      <c r="AT523" s="6">
        <f t="shared" si="159"/>
        <v>-3964932.7335438589</v>
      </c>
      <c r="AU523" s="6" t="e">
        <v>#REF!</v>
      </c>
      <c r="AV523" s="6" t="e">
        <v>#REF!</v>
      </c>
      <c r="AW523" s="110">
        <f t="shared" si="149"/>
        <v>3065056.7996259257</v>
      </c>
      <c r="AX523" s="55"/>
      <c r="AY523" s="55"/>
      <c r="AZ523" s="55">
        <v>2965260.2806766802</v>
      </c>
      <c r="BA523" s="55">
        <v>0</v>
      </c>
      <c r="BB523" s="55"/>
      <c r="BC523" s="55"/>
      <c r="BD523" s="55"/>
      <c r="BE523" s="55"/>
      <c r="BF523" s="55"/>
      <c r="BG523" s="55">
        <v>0</v>
      </c>
      <c r="BH523" s="55">
        <v>0</v>
      </c>
      <c r="BI523" s="55">
        <v>0</v>
      </c>
      <c r="BJ523" s="55"/>
      <c r="BK523" s="63"/>
      <c r="BL523" s="64">
        <v>99796.518949245699</v>
      </c>
      <c r="BM523" s="110">
        <f t="shared" si="150"/>
        <v>3065056.7996259257</v>
      </c>
      <c r="BN523" s="55"/>
      <c r="BO523" s="55"/>
      <c r="BP523" s="55">
        <v>2965260.2806766802</v>
      </c>
      <c r="BQ523" s="55">
        <v>0</v>
      </c>
      <c r="BR523" s="55"/>
      <c r="BS523" s="55"/>
      <c r="BT523" s="55"/>
      <c r="BU523" s="55"/>
      <c r="BV523" s="55"/>
      <c r="BW523" s="55">
        <v>0</v>
      </c>
      <c r="BX523" s="55">
        <v>0</v>
      </c>
      <c r="BY523" s="55">
        <v>0</v>
      </c>
      <c r="BZ523" s="55"/>
      <c r="CA523" s="63"/>
      <c r="CB523" s="64">
        <v>99796.518949245699</v>
      </c>
      <c r="CD523" s="75"/>
      <c r="CE523" s="6"/>
    </row>
    <row r="524" spans="1:83" x14ac:dyDescent="0.25">
      <c r="A524" s="105">
        <f t="shared" si="151"/>
        <v>502</v>
      </c>
      <c r="B524" s="107">
        <f t="shared" si="157"/>
        <v>43</v>
      </c>
      <c r="C524" s="53" t="s">
        <v>75</v>
      </c>
      <c r="D524" s="53" t="s">
        <v>543</v>
      </c>
      <c r="E524" s="54">
        <v>1992</v>
      </c>
      <c r="F524" s="54">
        <v>2012</v>
      </c>
      <c r="G524" s="54" t="s">
        <v>64</v>
      </c>
      <c r="H524" s="54">
        <v>9</v>
      </c>
      <c r="I524" s="54">
        <v>1</v>
      </c>
      <c r="J524" s="55">
        <v>2875.6</v>
      </c>
      <c r="K524" s="55">
        <v>2204.5</v>
      </c>
      <c r="L524" s="55">
        <v>292.8</v>
      </c>
      <c r="M524" s="56">
        <v>65</v>
      </c>
      <c r="N524" s="112">
        <v>7596756.29</v>
      </c>
      <c r="O524" s="55"/>
      <c r="P524" s="63"/>
      <c r="Q524" s="63"/>
      <c r="R524" s="62">
        <v>2284590.5099999998</v>
      </c>
      <c r="S524" s="62">
        <v>5312165.78</v>
      </c>
      <c r="T524" s="63"/>
      <c r="U524" s="63">
        <v>3446.0223592958901</v>
      </c>
      <c r="V524" s="63">
        <v>1198.2830200640001</v>
      </c>
      <c r="W524" s="59">
        <v>2024</v>
      </c>
      <c r="X524" s="6" t="e">
        <v>#REF!</v>
      </c>
      <c r="Z524" s="62">
        <f t="shared" si="158"/>
        <v>8952042.0564937424</v>
      </c>
      <c r="AA524" s="55">
        <v>5934192.4713683696</v>
      </c>
      <c r="AB524" s="55">
        <v>0</v>
      </c>
      <c r="AC524" s="55">
        <v>1753610.8507606201</v>
      </c>
      <c r="AD524" s="55">
        <v>0</v>
      </c>
      <c r="AE524" s="55">
        <v>0</v>
      </c>
      <c r="AF524" s="55"/>
      <c r="AG524" s="55">
        <v>263647.88892809901</v>
      </c>
      <c r="AH524" s="55">
        <v>0</v>
      </c>
      <c r="AI524" s="55">
        <v>0</v>
      </c>
      <c r="AJ524" s="55">
        <v>0</v>
      </c>
      <c r="AK524" s="55">
        <v>0</v>
      </c>
      <c r="AL524" s="55">
        <v>0</v>
      </c>
      <c r="AM524" s="55">
        <v>737188.29129658802</v>
      </c>
      <c r="AN524" s="63">
        <v>89520.420564937405</v>
      </c>
      <c r="AO524" s="64">
        <v>173882.133575129</v>
      </c>
      <c r="AP524" s="61">
        <f>+N524-'Приложение №2'!E524</f>
        <v>-1.0677948594093323E-3</v>
      </c>
      <c r="AQ524" s="65">
        <v>1900280.06</v>
      </c>
      <c r="AR524" s="3">
        <f>+(K524*13.95+L524*23.65)*12*0.85</f>
        <v>384310.44899999996</v>
      </c>
      <c r="AS524" s="3">
        <f>+(K524*13.95+L524*23.65)*12*30</f>
        <v>13563898.199999999</v>
      </c>
      <c r="AT524" s="6">
        <f t="shared" si="159"/>
        <v>-8251732.419999999</v>
      </c>
      <c r="AU524" s="6" t="e">
        <v>#REF!</v>
      </c>
      <c r="AV524" s="6" t="e">
        <v>#REF!</v>
      </c>
      <c r="AW524" s="110">
        <f t="shared" si="149"/>
        <v>7596756.2910677949</v>
      </c>
      <c r="AX524" s="55">
        <v>7116553.6781660998</v>
      </c>
      <c r="AY524" s="55">
        <v>0</v>
      </c>
      <c r="AZ524" s="55">
        <v>0</v>
      </c>
      <c r="BA524" s="55">
        <v>0</v>
      </c>
      <c r="BB524" s="55">
        <v>0</v>
      </c>
      <c r="BC524" s="55"/>
      <c r="BD524" s="55">
        <v>317632.02827284398</v>
      </c>
      <c r="BE524" s="55">
        <v>0</v>
      </c>
      <c r="BF524" s="55">
        <v>0</v>
      </c>
      <c r="BG524" s="55">
        <v>0</v>
      </c>
      <c r="BH524" s="55">
        <v>0</v>
      </c>
      <c r="BI524" s="55">
        <v>0</v>
      </c>
      <c r="BJ524" s="55"/>
      <c r="BK524" s="63"/>
      <c r="BL524" s="64">
        <v>162570.58462885101</v>
      </c>
      <c r="BM524" s="110">
        <f t="shared" si="150"/>
        <v>7596756.2910677949</v>
      </c>
      <c r="BN524" s="55">
        <v>7116553.6781660998</v>
      </c>
      <c r="BO524" s="55">
        <v>0</v>
      </c>
      <c r="BP524" s="55">
        <v>0</v>
      </c>
      <c r="BQ524" s="55">
        <v>0</v>
      </c>
      <c r="BR524" s="55">
        <v>0</v>
      </c>
      <c r="BS524" s="55"/>
      <c r="BT524" s="55">
        <v>317632.02827284398</v>
      </c>
      <c r="BU524" s="55">
        <v>0</v>
      </c>
      <c r="BV524" s="55">
        <v>0</v>
      </c>
      <c r="BW524" s="55">
        <v>0</v>
      </c>
      <c r="BX524" s="55">
        <v>0</v>
      </c>
      <c r="BY524" s="55">
        <v>0</v>
      </c>
      <c r="BZ524" s="55"/>
      <c r="CA524" s="63"/>
      <c r="CB524" s="64">
        <v>162570.58462885101</v>
      </c>
      <c r="CD524" s="75"/>
      <c r="CE524" s="6"/>
    </row>
    <row r="525" spans="1:83" x14ac:dyDescent="0.25">
      <c r="A525" s="105">
        <f t="shared" si="151"/>
        <v>503</v>
      </c>
      <c r="B525" s="107">
        <f t="shared" si="157"/>
        <v>44</v>
      </c>
      <c r="C525" s="53" t="s">
        <v>75</v>
      </c>
      <c r="D525" s="53" t="s">
        <v>544</v>
      </c>
      <c r="E525" s="54">
        <v>1991</v>
      </c>
      <c r="F525" s="54">
        <v>2011</v>
      </c>
      <c r="G525" s="54" t="s">
        <v>64</v>
      </c>
      <c r="H525" s="54">
        <v>9</v>
      </c>
      <c r="I525" s="54">
        <v>1</v>
      </c>
      <c r="J525" s="55">
        <v>2848.2</v>
      </c>
      <c r="K525" s="55">
        <v>2372.6999999999998</v>
      </c>
      <c r="L525" s="55">
        <v>100.6</v>
      </c>
      <c r="M525" s="56">
        <v>61</v>
      </c>
      <c r="N525" s="112">
        <v>2085412.76</v>
      </c>
      <c r="O525" s="55"/>
      <c r="P525" s="63"/>
      <c r="Q525" s="63"/>
      <c r="R525" s="62">
        <v>734493.92</v>
      </c>
      <c r="S525" s="62">
        <v>1350918.84</v>
      </c>
      <c r="T525" s="63"/>
      <c r="U525" s="55">
        <v>843.17016166401902</v>
      </c>
      <c r="V525" s="55">
        <v>843.17016166401902</v>
      </c>
      <c r="W525" s="59">
        <v>2024</v>
      </c>
      <c r="X525" s="6" t="e">
        <v>#REF!</v>
      </c>
      <c r="Z525" s="62">
        <f t="shared" si="158"/>
        <v>9685484.1454348173</v>
      </c>
      <c r="AA525" s="55">
        <v>6420381.7111990303</v>
      </c>
      <c r="AB525" s="55">
        <v>0</v>
      </c>
      <c r="AC525" s="55">
        <v>1897284.43913911</v>
      </c>
      <c r="AD525" s="55">
        <v>0</v>
      </c>
      <c r="AE525" s="55">
        <v>0</v>
      </c>
      <c r="AF525" s="55"/>
      <c r="AG525" s="55">
        <v>285248.59826123499</v>
      </c>
      <c r="AH525" s="55">
        <v>0</v>
      </c>
      <c r="AI525" s="55">
        <v>0</v>
      </c>
      <c r="AJ525" s="55">
        <v>0</v>
      </c>
      <c r="AK525" s="55">
        <v>0</v>
      </c>
      <c r="AL525" s="55">
        <v>0</v>
      </c>
      <c r="AM525" s="55">
        <v>797586.23367659096</v>
      </c>
      <c r="AN525" s="63">
        <v>96854.841454348207</v>
      </c>
      <c r="AO525" s="64">
        <v>188128.321704503</v>
      </c>
      <c r="AP525" s="61">
        <f>+N525-'Приложение №2'!E525</f>
        <v>-8.4361294284462929E-4</v>
      </c>
      <c r="AQ525" s="1">
        <f>1575336.79-1185589.56</f>
        <v>389747.23</v>
      </c>
      <c r="AR525" s="3">
        <f>+(K525*13.29+L525*22.52)*12*0.85</f>
        <v>344746.68899999995</v>
      </c>
      <c r="AS525" s="3">
        <f>+(K525*13.29+L525*22.52)*12*30</f>
        <v>12167530.199999999</v>
      </c>
      <c r="AT525" s="6">
        <f t="shared" si="159"/>
        <v>-10816611.359999999</v>
      </c>
      <c r="AU525" s="6" t="e">
        <v>#REF!</v>
      </c>
      <c r="AV525" s="6" t="e">
        <v>#REF!</v>
      </c>
      <c r="AW525" s="62">
        <f t="shared" si="149"/>
        <v>2085412.760843613</v>
      </c>
      <c r="AX525" s="55"/>
      <c r="AY525" s="55">
        <v>0</v>
      </c>
      <c r="AZ525" s="55">
        <v>1897284.43913911</v>
      </c>
      <c r="BA525" s="55">
        <v>0</v>
      </c>
      <c r="BB525" s="55">
        <v>0</v>
      </c>
      <c r="BC525" s="55"/>
      <c r="BD525" s="55"/>
      <c r="BE525" s="55">
        <v>0</v>
      </c>
      <c r="BF525" s="55">
        <v>0</v>
      </c>
      <c r="BG525" s="55">
        <v>0</v>
      </c>
      <c r="BH525" s="55">
        <v>0</v>
      </c>
      <c r="BI525" s="55">
        <v>0</v>
      </c>
      <c r="BJ525" s="55"/>
      <c r="BK525" s="63"/>
      <c r="BL525" s="64">
        <v>188128.321704503</v>
      </c>
      <c r="BM525" s="62">
        <f t="shared" si="150"/>
        <v>2085412.760843613</v>
      </c>
      <c r="BN525" s="55"/>
      <c r="BO525" s="55">
        <v>0</v>
      </c>
      <c r="BP525" s="55">
        <v>1897284.43913911</v>
      </c>
      <c r="BQ525" s="55">
        <v>0</v>
      </c>
      <c r="BR525" s="55">
        <v>0</v>
      </c>
      <c r="BS525" s="55"/>
      <c r="BT525" s="55"/>
      <c r="BU525" s="55">
        <v>0</v>
      </c>
      <c r="BV525" s="55">
        <v>0</v>
      </c>
      <c r="BW525" s="55">
        <v>0</v>
      </c>
      <c r="BX525" s="55">
        <v>0</v>
      </c>
      <c r="BY525" s="55">
        <v>0</v>
      </c>
      <c r="BZ525" s="55"/>
      <c r="CA525" s="63"/>
      <c r="CB525" s="64">
        <v>188128.321704503</v>
      </c>
      <c r="CD525" s="75"/>
      <c r="CE525" s="6"/>
    </row>
    <row r="526" spans="1:83" x14ac:dyDescent="0.25">
      <c r="A526" s="105">
        <f t="shared" si="151"/>
        <v>504</v>
      </c>
      <c r="B526" s="107">
        <f t="shared" si="157"/>
        <v>45</v>
      </c>
      <c r="C526" s="53" t="s">
        <v>75</v>
      </c>
      <c r="D526" s="53" t="s">
        <v>545</v>
      </c>
      <c r="E526" s="54">
        <v>1987</v>
      </c>
      <c r="F526" s="54">
        <v>2016</v>
      </c>
      <c r="G526" s="54" t="s">
        <v>64</v>
      </c>
      <c r="H526" s="54">
        <v>5</v>
      </c>
      <c r="I526" s="54">
        <v>4</v>
      </c>
      <c r="J526" s="55">
        <v>5812.1</v>
      </c>
      <c r="K526" s="55">
        <v>4766.5</v>
      </c>
      <c r="L526" s="55">
        <v>87</v>
      </c>
      <c r="M526" s="56">
        <v>201</v>
      </c>
      <c r="N526" s="112">
        <v>34449317.109999999</v>
      </c>
      <c r="O526" s="55"/>
      <c r="P526" s="62">
        <v>3288504.73</v>
      </c>
      <c r="Q526" s="63"/>
      <c r="R526" s="62">
        <v>3450264.2</v>
      </c>
      <c r="S526" s="62">
        <v>18675090</v>
      </c>
      <c r="T526" s="62">
        <v>9035458.1799999997</v>
      </c>
      <c r="U526" s="63">
        <v>7227.3821701074903</v>
      </c>
      <c r="V526" s="63">
        <v>1201.2830200640001</v>
      </c>
      <c r="W526" s="59">
        <v>2024</v>
      </c>
      <c r="X526" s="6" t="e">
        <v>#REF!</v>
      </c>
      <c r="Z526" s="62">
        <f t="shared" si="158"/>
        <v>8348211.414400002</v>
      </c>
      <c r="AA526" s="55">
        <v>0</v>
      </c>
      <c r="AB526" s="55">
        <v>0</v>
      </c>
      <c r="AC526" s="55">
        <v>0</v>
      </c>
      <c r="AD526" s="55">
        <v>0</v>
      </c>
      <c r="AE526" s="55">
        <v>0</v>
      </c>
      <c r="AF526" s="55"/>
      <c r="AG526" s="55">
        <v>0</v>
      </c>
      <c r="AH526" s="55">
        <v>0</v>
      </c>
      <c r="AI526" s="55">
        <v>0</v>
      </c>
      <c r="AJ526" s="55">
        <v>7270908.1242173398</v>
      </c>
      <c r="AK526" s="55">
        <v>0</v>
      </c>
      <c r="AL526" s="55">
        <v>0</v>
      </c>
      <c r="AM526" s="55">
        <v>834821.14144000004</v>
      </c>
      <c r="AN526" s="63">
        <v>83482.114144000006</v>
      </c>
      <c r="AO526" s="64">
        <v>159000.03459866199</v>
      </c>
      <c r="AP526" s="61">
        <f>+N526-'Приложение №2'!E526</f>
        <v>-3.817342221736908E-3</v>
      </c>
      <c r="AQ526" s="65">
        <v>2921136.65</v>
      </c>
      <c r="AR526" s="3">
        <f>+(K526*10.5+L526*21)*12*0.85</f>
        <v>529127.54999999993</v>
      </c>
      <c r="AS526" s="3">
        <f>+(K526*10.5+L526*21)*12*30</f>
        <v>18675090</v>
      </c>
      <c r="AT526" s="6">
        <f t="shared" si="159"/>
        <v>0</v>
      </c>
      <c r="AU526" s="6" t="e">
        <v>#REF!</v>
      </c>
      <c r="AV526" s="6" t="e">
        <v>#REF!</v>
      </c>
      <c r="AW526" s="110">
        <f t="shared" si="149"/>
        <v>34449317.113817342</v>
      </c>
      <c r="AX526" s="55">
        <v>0</v>
      </c>
      <c r="AY526" s="55">
        <v>0</v>
      </c>
      <c r="AZ526" s="55">
        <v>0</v>
      </c>
      <c r="BA526" s="55">
        <v>0</v>
      </c>
      <c r="BB526" s="55">
        <v>0</v>
      </c>
      <c r="BC526" s="55"/>
      <c r="BD526" s="55"/>
      <c r="BE526" s="55">
        <v>0</v>
      </c>
      <c r="BF526" s="55">
        <v>0</v>
      </c>
      <c r="BG526" s="55">
        <v>9755981.0283780508</v>
      </c>
      <c r="BH526" s="55">
        <v>23956120.699203599</v>
      </c>
      <c r="BI526" s="55">
        <v>0</v>
      </c>
      <c r="BJ526" s="55"/>
      <c r="BK526" s="63"/>
      <c r="BL526" s="64">
        <v>737215.38623569196</v>
      </c>
      <c r="BM526" s="110">
        <f t="shared" si="150"/>
        <v>34449317.113817342</v>
      </c>
      <c r="BN526" s="55">
        <v>0</v>
      </c>
      <c r="BO526" s="55">
        <v>0</v>
      </c>
      <c r="BP526" s="55">
        <v>0</v>
      </c>
      <c r="BQ526" s="55">
        <v>0</v>
      </c>
      <c r="BR526" s="55">
        <v>0</v>
      </c>
      <c r="BS526" s="55"/>
      <c r="BT526" s="55"/>
      <c r="BU526" s="55">
        <v>0</v>
      </c>
      <c r="BV526" s="55">
        <v>0</v>
      </c>
      <c r="BW526" s="55">
        <v>9755981.0283780508</v>
      </c>
      <c r="BX526" s="55">
        <v>23956120.699203599</v>
      </c>
      <c r="BY526" s="55">
        <v>0</v>
      </c>
      <c r="BZ526" s="55"/>
      <c r="CA526" s="63"/>
      <c r="CB526" s="64">
        <v>737215.38623569196</v>
      </c>
      <c r="CD526" s="75"/>
      <c r="CE526" s="6"/>
    </row>
    <row r="527" spans="1:83" x14ac:dyDescent="0.25">
      <c r="A527" s="105">
        <f t="shared" si="151"/>
        <v>505</v>
      </c>
      <c r="B527" s="107">
        <f t="shared" si="157"/>
        <v>46</v>
      </c>
      <c r="C527" s="53" t="s">
        <v>78</v>
      </c>
      <c r="D527" s="53" t="s">
        <v>546</v>
      </c>
      <c r="E527" s="54">
        <v>1991</v>
      </c>
      <c r="F527" s="54">
        <v>2007</v>
      </c>
      <c r="G527" s="54" t="s">
        <v>64</v>
      </c>
      <c r="H527" s="54">
        <v>9</v>
      </c>
      <c r="I527" s="54">
        <v>5</v>
      </c>
      <c r="J527" s="55">
        <v>17171.8</v>
      </c>
      <c r="K527" s="55">
        <v>14372.9</v>
      </c>
      <c r="L527" s="55">
        <v>1885.6</v>
      </c>
      <c r="M527" s="56">
        <v>500</v>
      </c>
      <c r="N527" s="112">
        <v>17956800</v>
      </c>
      <c r="O527" s="55"/>
      <c r="P527" s="62">
        <v>7716317.4400000004</v>
      </c>
      <c r="Q527" s="63"/>
      <c r="R527" s="62">
        <v>10240482.560000001</v>
      </c>
      <c r="T527" s="63"/>
      <c r="U527" s="63">
        <v>1249.3512095680101</v>
      </c>
      <c r="V527" s="63">
        <v>1202.2830200640001</v>
      </c>
      <c r="W527" s="59">
        <v>2024</v>
      </c>
      <c r="X527" s="6" t="e">
        <v>#REF!</v>
      </c>
      <c r="Z527" s="62">
        <f t="shared" si="158"/>
        <v>41065952.285400674</v>
      </c>
      <c r="AA527" s="55">
        <v>35121361.789660104</v>
      </c>
      <c r="AB527" s="55">
        <v>0</v>
      </c>
      <c r="AC527" s="55">
        <v>0</v>
      </c>
      <c r="AD527" s="55">
        <v>0</v>
      </c>
      <c r="AE527" s="55">
        <v>0</v>
      </c>
      <c r="AF527" s="55"/>
      <c r="AG527" s="55">
        <v>1560393.0841138901</v>
      </c>
      <c r="AH527" s="55">
        <v>0</v>
      </c>
      <c r="AI527" s="55">
        <v>0</v>
      </c>
      <c r="AJ527" s="55">
        <v>0</v>
      </c>
      <c r="AK527" s="55">
        <v>0</v>
      </c>
      <c r="AL527" s="55">
        <v>0</v>
      </c>
      <c r="AM527" s="55">
        <v>3171382.20279396</v>
      </c>
      <c r="AN527" s="63">
        <v>410659.52285400702</v>
      </c>
      <c r="AO527" s="64">
        <v>802155.68597870797</v>
      </c>
      <c r="AP527" s="61">
        <f>+N527-'Приложение №2'!E527</f>
        <v>0</v>
      </c>
      <c r="AR527" s="3">
        <f>+(K527*13.95+L527*23.65)*12*0.85</f>
        <v>2499983.2289999998</v>
      </c>
      <c r="AS527" s="3">
        <f>+(K527*13.95+L527*23.65)*12*30</f>
        <v>88234702.199999988</v>
      </c>
      <c r="AT527" s="6">
        <f t="shared" si="159"/>
        <v>-88234702.199999988</v>
      </c>
      <c r="AU527" s="6" t="e">
        <v>#REF!</v>
      </c>
      <c r="AV527" s="6" t="e">
        <v>#REF!</v>
      </c>
      <c r="AW527" s="110">
        <f t="shared" si="149"/>
        <v>17956800</v>
      </c>
      <c r="AX527" s="55"/>
      <c r="AY527" s="55"/>
      <c r="AZ527" s="55"/>
      <c r="BA527" s="55"/>
      <c r="BB527" s="55"/>
      <c r="BC527" s="55"/>
      <c r="BD527" s="55"/>
      <c r="BE527" s="55">
        <f>5*3591360</f>
        <v>17956800</v>
      </c>
      <c r="BF527" s="55"/>
      <c r="BG527" s="55"/>
      <c r="BH527" s="55"/>
      <c r="BI527" s="55"/>
      <c r="BJ527" s="55"/>
      <c r="BK527" s="63"/>
      <c r="BL527" s="64"/>
      <c r="BM527" s="110">
        <f t="shared" si="150"/>
        <v>17956800</v>
      </c>
      <c r="BN527" s="55"/>
      <c r="BO527" s="55"/>
      <c r="BP527" s="55"/>
      <c r="BQ527" s="55"/>
      <c r="BR527" s="55"/>
      <c r="BS527" s="55"/>
      <c r="BT527" s="55"/>
      <c r="BU527" s="55">
        <f>5*3591360</f>
        <v>17956800</v>
      </c>
      <c r="BV527" s="55"/>
      <c r="BW527" s="55"/>
      <c r="BX527" s="55"/>
      <c r="BY527" s="55"/>
      <c r="BZ527" s="55"/>
      <c r="CA527" s="63"/>
      <c r="CB527" s="64"/>
      <c r="CD527" s="75"/>
      <c r="CE527" s="6"/>
    </row>
    <row r="528" spans="1:83" x14ac:dyDescent="0.25">
      <c r="A528" s="105">
        <f t="shared" si="151"/>
        <v>506</v>
      </c>
      <c r="B528" s="107">
        <f t="shared" si="157"/>
        <v>47</v>
      </c>
      <c r="C528" s="53" t="s">
        <v>78</v>
      </c>
      <c r="D528" s="53" t="s">
        <v>547</v>
      </c>
      <c r="E528" s="54">
        <v>1992</v>
      </c>
      <c r="F528" s="54">
        <v>2008</v>
      </c>
      <c r="G528" s="54" t="s">
        <v>64</v>
      </c>
      <c r="H528" s="54">
        <v>9</v>
      </c>
      <c r="I528" s="54">
        <v>5</v>
      </c>
      <c r="J528" s="55">
        <v>17240</v>
      </c>
      <c r="K528" s="55">
        <v>14691.6</v>
      </c>
      <c r="L528" s="55">
        <v>793.1</v>
      </c>
      <c r="M528" s="56">
        <v>518</v>
      </c>
      <c r="N528" s="112">
        <v>17956800</v>
      </c>
      <c r="O528" s="55"/>
      <c r="P528" s="62">
        <v>6843315.0599999996</v>
      </c>
      <c r="Q528" s="63"/>
      <c r="R528" s="62">
        <v>7749271.8799999999</v>
      </c>
      <c r="T528" s="62">
        <v>3364213.06</v>
      </c>
      <c r="U528" s="63">
        <v>1222.2494486645401</v>
      </c>
      <c r="V528" s="63">
        <v>1203.2830200640001</v>
      </c>
      <c r="W528" s="59">
        <v>2024</v>
      </c>
      <c r="X528" s="6" t="e">
        <v>#REF!</v>
      </c>
      <c r="Z528" s="62">
        <f t="shared" si="158"/>
        <v>41205480.870442212</v>
      </c>
      <c r="AA528" s="55">
        <v>35240692.613433197</v>
      </c>
      <c r="AB528" s="55">
        <v>0</v>
      </c>
      <c r="AC528" s="55">
        <v>0</v>
      </c>
      <c r="AD528" s="55">
        <v>0</v>
      </c>
      <c r="AE528" s="55">
        <v>0</v>
      </c>
      <c r="AF528" s="55"/>
      <c r="AG528" s="55">
        <v>1565694.7860596201</v>
      </c>
      <c r="AH528" s="55">
        <v>0</v>
      </c>
      <c r="AI528" s="55">
        <v>0</v>
      </c>
      <c r="AJ528" s="55">
        <v>0</v>
      </c>
      <c r="AK528" s="55">
        <v>0</v>
      </c>
      <c r="AL528" s="55">
        <v>0</v>
      </c>
      <c r="AM528" s="55">
        <v>3182157.5153523199</v>
      </c>
      <c r="AN528" s="63">
        <v>412054.80870442302</v>
      </c>
      <c r="AO528" s="64">
        <v>804881.14689265005</v>
      </c>
      <c r="AP528" s="61">
        <f>+N528-'Приложение №2'!E528</f>
        <v>0</v>
      </c>
      <c r="AQ528" s="1">
        <v>620</v>
      </c>
      <c r="AR528" s="3">
        <f>+(K528*13.95+L528*23.65)*12*0.85</f>
        <v>2281787.2770000002</v>
      </c>
      <c r="AS528" s="3">
        <f>+(K528*13.95+L528*23.65)*12*30</f>
        <v>80533668.600000009</v>
      </c>
      <c r="AT528" s="6">
        <f t="shared" si="159"/>
        <v>-80533668.600000009</v>
      </c>
      <c r="AU528" s="6" t="e">
        <v>#REF!</v>
      </c>
      <c r="AV528" s="6" t="e">
        <v>#REF!</v>
      </c>
      <c r="AW528" s="110">
        <f t="shared" si="149"/>
        <v>17956800</v>
      </c>
      <c r="AX528" s="55"/>
      <c r="AY528" s="55"/>
      <c r="AZ528" s="55"/>
      <c r="BA528" s="55"/>
      <c r="BB528" s="55"/>
      <c r="BC528" s="55"/>
      <c r="BD528" s="55"/>
      <c r="BE528" s="55">
        <f>5*3591360</f>
        <v>17956800</v>
      </c>
      <c r="BF528" s="55"/>
      <c r="BG528" s="55"/>
      <c r="BH528" s="55"/>
      <c r="BI528" s="55"/>
      <c r="BJ528" s="55"/>
      <c r="BK528" s="63"/>
      <c r="BL528" s="64"/>
      <c r="BM528" s="110">
        <f t="shared" si="150"/>
        <v>17956800</v>
      </c>
      <c r="BN528" s="55"/>
      <c r="BO528" s="55"/>
      <c r="BP528" s="55"/>
      <c r="BQ528" s="55"/>
      <c r="BR528" s="55"/>
      <c r="BS528" s="55"/>
      <c r="BT528" s="55"/>
      <c r="BU528" s="55">
        <f>5*3591360</f>
        <v>17956800</v>
      </c>
      <c r="BV528" s="55"/>
      <c r="BW528" s="55"/>
      <c r="BX528" s="55"/>
      <c r="BY528" s="55"/>
      <c r="BZ528" s="55"/>
      <c r="CA528" s="63"/>
      <c r="CB528" s="64"/>
      <c r="CD528" s="75"/>
      <c r="CE528" s="6"/>
    </row>
    <row r="529" spans="1:84" x14ac:dyDescent="0.25">
      <c r="A529" s="105">
        <f t="shared" si="151"/>
        <v>507</v>
      </c>
      <c r="B529" s="107">
        <f t="shared" si="157"/>
        <v>48</v>
      </c>
      <c r="C529" s="53" t="s">
        <v>75</v>
      </c>
      <c r="D529" s="53" t="s">
        <v>548</v>
      </c>
      <c r="E529" s="54">
        <v>1994</v>
      </c>
      <c r="F529" s="54">
        <v>2017</v>
      </c>
      <c r="G529" s="54" t="s">
        <v>64</v>
      </c>
      <c r="H529" s="54">
        <v>10</v>
      </c>
      <c r="I529" s="54">
        <v>1</v>
      </c>
      <c r="J529" s="55">
        <v>3265.2</v>
      </c>
      <c r="K529" s="55">
        <v>2810.5</v>
      </c>
      <c r="L529" s="55">
        <v>0</v>
      </c>
      <c r="M529" s="56">
        <v>90</v>
      </c>
      <c r="N529" s="112">
        <v>3452925.69</v>
      </c>
      <c r="O529" s="55"/>
      <c r="P529" s="63"/>
      <c r="Q529" s="63"/>
      <c r="R529" s="62">
        <v>2635455.7599999998</v>
      </c>
      <c r="S529" s="62">
        <v>817469.93</v>
      </c>
      <c r="T529" s="63"/>
      <c r="U529" s="63">
        <v>1190.671234272</v>
      </c>
      <c r="V529" s="63">
        <v>1207.2830200640001</v>
      </c>
      <c r="W529" s="59">
        <v>2024</v>
      </c>
      <c r="X529" s="6" t="e">
        <v>#REF!</v>
      </c>
      <c r="Z529" s="62">
        <f t="shared" si="158"/>
        <v>3340785.3491203762</v>
      </c>
      <c r="AA529" s="55">
        <v>0</v>
      </c>
      <c r="AB529" s="55">
        <v>0</v>
      </c>
      <c r="AC529" s="55">
        <v>0</v>
      </c>
      <c r="AD529" s="55">
        <v>0</v>
      </c>
      <c r="AE529" s="55">
        <v>0</v>
      </c>
      <c r="AF529" s="55"/>
      <c r="AG529" s="55">
        <v>0</v>
      </c>
      <c r="AH529" s="55">
        <v>0</v>
      </c>
      <c r="AI529" s="55">
        <v>2942363.2883842802</v>
      </c>
      <c r="AJ529" s="55">
        <v>0</v>
      </c>
      <c r="AK529" s="55">
        <v>0</v>
      </c>
      <c r="AL529" s="55">
        <v>0</v>
      </c>
      <c r="AM529" s="55">
        <v>300670.68142083398</v>
      </c>
      <c r="AN529" s="63">
        <v>33407.853491203801</v>
      </c>
      <c r="AO529" s="64">
        <v>64343.525824058503</v>
      </c>
      <c r="AP529" s="61">
        <f>+N529-'Приложение №2'!E529</f>
        <v>1.1177598498761654E-3</v>
      </c>
      <c r="AQ529" s="65">
        <v>2235549.71</v>
      </c>
      <c r="AR529" s="3">
        <f>+(K529*13.95+L529*23.65)*12*0.85</f>
        <v>399906.04499999993</v>
      </c>
      <c r="AS529" s="3">
        <f>+(K529*13.95+L529*23.65)*12*30</f>
        <v>14114330.999999998</v>
      </c>
      <c r="AT529" s="6">
        <f t="shared" si="159"/>
        <v>-13296861.069999998</v>
      </c>
      <c r="AU529" s="6" t="e">
        <v>#REF!</v>
      </c>
      <c r="AV529" s="6" t="e">
        <v>#REF!</v>
      </c>
      <c r="AW529" s="110">
        <f t="shared" si="149"/>
        <v>3346381.5039214548</v>
      </c>
      <c r="AX529" s="55">
        <v>0</v>
      </c>
      <c r="AY529" s="55">
        <v>0</v>
      </c>
      <c r="AZ529" s="55">
        <v>0</v>
      </c>
      <c r="BA529" s="55">
        <v>0</v>
      </c>
      <c r="BB529" s="55">
        <v>0</v>
      </c>
      <c r="BC529" s="55"/>
      <c r="BD529" s="55"/>
      <c r="BE529" s="55">
        <v>0</v>
      </c>
      <c r="BF529" s="55">
        <v>3174109.11127616</v>
      </c>
      <c r="BG529" s="55">
        <v>0</v>
      </c>
      <c r="BH529" s="55">
        <v>0</v>
      </c>
      <c r="BI529" s="55">
        <v>0</v>
      </c>
      <c r="BJ529" s="55">
        <v>69397.240000000005</v>
      </c>
      <c r="BK529" s="63">
        <v>33463.815039214598</v>
      </c>
      <c r="BL529" s="64">
        <v>69411.337606079993</v>
      </c>
      <c r="BM529" s="110">
        <f t="shared" si="150"/>
        <v>3346381.5039214548</v>
      </c>
      <c r="BN529" s="55">
        <v>0</v>
      </c>
      <c r="BO529" s="55">
        <v>0</v>
      </c>
      <c r="BP529" s="55">
        <v>0</v>
      </c>
      <c r="BQ529" s="55">
        <v>0</v>
      </c>
      <c r="BR529" s="55">
        <v>0</v>
      </c>
      <c r="BS529" s="55"/>
      <c r="BT529" s="55"/>
      <c r="BU529" s="55">
        <v>0</v>
      </c>
      <c r="BV529" s="55">
        <v>3174109.11127616</v>
      </c>
      <c r="BW529" s="55">
        <v>0</v>
      </c>
      <c r="BX529" s="55">
        <v>0</v>
      </c>
      <c r="BY529" s="55">
        <v>0</v>
      </c>
      <c r="BZ529" s="55">
        <v>69397.240000000005</v>
      </c>
      <c r="CA529" s="63">
        <v>33463.815039214598</v>
      </c>
      <c r="CB529" s="64">
        <v>69411.337606079993</v>
      </c>
      <c r="CD529" s="75"/>
      <c r="CE529" s="6"/>
      <c r="CF529" s="117"/>
    </row>
    <row r="530" spans="1:84" x14ac:dyDescent="0.25">
      <c r="A530" s="105">
        <f t="shared" si="151"/>
        <v>508</v>
      </c>
      <c r="B530" s="107">
        <f t="shared" si="157"/>
        <v>49</v>
      </c>
      <c r="C530" s="53" t="s">
        <v>75</v>
      </c>
      <c r="D530" s="53" t="s">
        <v>549</v>
      </c>
      <c r="E530" s="54">
        <v>1989</v>
      </c>
      <c r="F530" s="54">
        <v>2017</v>
      </c>
      <c r="G530" s="54" t="s">
        <v>64</v>
      </c>
      <c r="H530" s="54">
        <v>10</v>
      </c>
      <c r="I530" s="54">
        <v>1</v>
      </c>
      <c r="J530" s="55">
        <v>3562.9</v>
      </c>
      <c r="K530" s="55">
        <v>3068</v>
      </c>
      <c r="L530" s="55">
        <v>0</v>
      </c>
      <c r="M530" s="56">
        <v>120</v>
      </c>
      <c r="N530" s="112">
        <v>13658527.33</v>
      </c>
      <c r="O530" s="55"/>
      <c r="P530" s="63"/>
      <c r="Q530" s="63"/>
      <c r="R530" s="62">
        <v>2793934.95</v>
      </c>
      <c r="S530" s="62">
        <v>10864592.380000001</v>
      </c>
      <c r="T530" s="63"/>
      <c r="U530" s="63">
        <v>4712.0233504993703</v>
      </c>
      <c r="V530" s="63">
        <v>1208.2830200640001</v>
      </c>
      <c r="W530" s="59">
        <v>2024</v>
      </c>
      <c r="X530" s="6" t="e">
        <v>#REF!</v>
      </c>
      <c r="Z530" s="62">
        <f t="shared" si="158"/>
        <v>21469720.476183787</v>
      </c>
      <c r="AA530" s="55">
        <v>7342919.2042242</v>
      </c>
      <c r="AB530" s="55">
        <v>2937868.0070875599</v>
      </c>
      <c r="AC530" s="55">
        <v>0</v>
      </c>
      <c r="AD530" s="55">
        <v>0</v>
      </c>
      <c r="AE530" s="55">
        <v>0</v>
      </c>
      <c r="AF530" s="55"/>
      <c r="AG530" s="55">
        <v>326235.65145619499</v>
      </c>
      <c r="AH530" s="55">
        <v>0</v>
      </c>
      <c r="AI530" s="55">
        <v>3213549.81143517</v>
      </c>
      <c r="AJ530" s="55">
        <v>5105615.6190507403</v>
      </c>
      <c r="AK530" s="55">
        <v>0</v>
      </c>
      <c r="AL530" s="55">
        <v>0</v>
      </c>
      <c r="AM530" s="55">
        <v>1914957.5722048399</v>
      </c>
      <c r="AN530" s="63">
        <v>214697.20476183799</v>
      </c>
      <c r="AO530" s="64">
        <v>413877.40596324601</v>
      </c>
      <c r="AP530" s="61">
        <f>+N530-'Приложение №2'!E530</f>
        <v>-1.4660730957984924E-3</v>
      </c>
      <c r="AQ530" s="65">
        <v>2357389.23</v>
      </c>
      <c r="AR530" s="3">
        <f>+(K530*13.95+L530*23.65)*12*0.85</f>
        <v>436545.72</v>
      </c>
      <c r="AS530" s="3">
        <f>+(K530*13.95+L530*23.65)*12*30</f>
        <v>15407495.999999998</v>
      </c>
      <c r="AT530" s="6">
        <f t="shared" si="159"/>
        <v>-4542903.6199999973</v>
      </c>
      <c r="AU530" s="6" t="e">
        <v>#REF!</v>
      </c>
      <c r="AV530" s="6" t="e">
        <v>#REF!</v>
      </c>
      <c r="AW530" s="110">
        <f t="shared" si="149"/>
        <v>14456487.639332062</v>
      </c>
      <c r="AX530" s="55"/>
      <c r="AY530" s="55">
        <v>3497984.6377121601</v>
      </c>
      <c r="AZ530" s="55">
        <v>0</v>
      </c>
      <c r="BA530" s="55">
        <v>0</v>
      </c>
      <c r="BB530" s="55">
        <v>0</v>
      </c>
      <c r="BC530" s="55"/>
      <c r="BD530" s="55">
        <v>0</v>
      </c>
      <c r="BE530" s="55"/>
      <c r="BF530" s="55">
        <v>3471145.3937748601</v>
      </c>
      <c r="BG530" s="55">
        <v>6079022.2564176796</v>
      </c>
      <c r="BH530" s="55">
        <v>0</v>
      </c>
      <c r="BI530" s="55">
        <v>0</v>
      </c>
      <c r="BJ530" s="55">
        <v>994007.83490775002</v>
      </c>
      <c r="BK530" s="63">
        <v>128990.85295823999</v>
      </c>
      <c r="BL530" s="64">
        <v>285336.66356137401</v>
      </c>
      <c r="BM530" s="110">
        <f t="shared" si="150"/>
        <v>14456487.639332062</v>
      </c>
      <c r="BN530" s="55"/>
      <c r="BO530" s="55">
        <v>3497984.6377121601</v>
      </c>
      <c r="BP530" s="55">
        <v>0</v>
      </c>
      <c r="BQ530" s="55">
        <v>0</v>
      </c>
      <c r="BR530" s="55">
        <v>0</v>
      </c>
      <c r="BS530" s="55"/>
      <c r="BT530" s="55">
        <v>0</v>
      </c>
      <c r="BU530" s="55"/>
      <c r="BV530" s="55">
        <v>3471145.3937748601</v>
      </c>
      <c r="BW530" s="55">
        <v>6079022.2564176796</v>
      </c>
      <c r="BX530" s="55">
        <v>0</v>
      </c>
      <c r="BY530" s="55">
        <v>0</v>
      </c>
      <c r="BZ530" s="55">
        <v>994007.83490775002</v>
      </c>
      <c r="CA530" s="63">
        <v>128990.85295823999</v>
      </c>
      <c r="CB530" s="64">
        <v>285336.66356137401</v>
      </c>
      <c r="CD530" s="75"/>
      <c r="CE530" s="6"/>
      <c r="CF530" s="117"/>
    </row>
    <row r="531" spans="1:84" x14ac:dyDescent="0.25">
      <c r="A531" s="105">
        <f t="shared" si="151"/>
        <v>509</v>
      </c>
      <c r="B531" s="107">
        <f t="shared" si="157"/>
        <v>50</v>
      </c>
      <c r="C531" s="53" t="s">
        <v>75</v>
      </c>
      <c r="D531" s="53" t="s">
        <v>85</v>
      </c>
      <c r="E531" s="54">
        <v>1990</v>
      </c>
      <c r="F531" s="54">
        <v>2017</v>
      </c>
      <c r="G531" s="54" t="s">
        <v>64</v>
      </c>
      <c r="H531" s="54">
        <v>10</v>
      </c>
      <c r="I531" s="54">
        <v>3</v>
      </c>
      <c r="J531" s="55">
        <v>9593.2999999999993</v>
      </c>
      <c r="K531" s="55">
        <v>8146.5</v>
      </c>
      <c r="L531" s="55">
        <v>251.7</v>
      </c>
      <c r="M531" s="56">
        <v>290</v>
      </c>
      <c r="N531" s="112">
        <v>5964947.0199999996</v>
      </c>
      <c r="O531" s="55"/>
      <c r="P531" s="63"/>
      <c r="Q531" s="63"/>
      <c r="R531" s="62">
        <v>5617381.3399999999</v>
      </c>
      <c r="S531" s="62">
        <v>347565.68</v>
      </c>
      <c r="T531" s="63"/>
      <c r="U531" s="55">
        <v>710.26494049995904</v>
      </c>
      <c r="V531" s="55">
        <v>710.26494049995904</v>
      </c>
      <c r="W531" s="59">
        <v>2024</v>
      </c>
      <c r="X531" s="6" t="e">
        <v>#REF!</v>
      </c>
      <c r="Z531" s="62">
        <f t="shared" si="158"/>
        <v>59075280.940424442</v>
      </c>
      <c r="AA531" s="55">
        <v>19753324.8766292</v>
      </c>
      <c r="AB531" s="55">
        <v>7903213.9091590596</v>
      </c>
      <c r="AC531" s="55">
        <v>5837297.1570079904</v>
      </c>
      <c r="AD531" s="55">
        <v>3730300.4891794799</v>
      </c>
      <c r="AE531" s="55">
        <v>0</v>
      </c>
      <c r="AF531" s="55"/>
      <c r="AG531" s="55">
        <v>877612.65381291194</v>
      </c>
      <c r="AH531" s="55">
        <v>0</v>
      </c>
      <c r="AI531" s="55">
        <v>0</v>
      </c>
      <c r="AJ531" s="55">
        <v>13734712.477877101</v>
      </c>
      <c r="AK531" s="55">
        <v>0</v>
      </c>
      <c r="AL531" s="55">
        <v>0</v>
      </c>
      <c r="AM531" s="55">
        <v>5514508.1395367002</v>
      </c>
      <c r="AN531" s="63">
        <v>590752.809404245</v>
      </c>
      <c r="AO531" s="64">
        <v>1133558.42781775</v>
      </c>
      <c r="AP531" s="61">
        <f>+N531-'Приложение №2'!E531</f>
        <v>-3.3067557960748672E-3</v>
      </c>
      <c r="AQ531" s="6">
        <f>5009993.34-R35</f>
        <v>4455241.5975607848</v>
      </c>
      <c r="AR531" s="3">
        <f>+(K531*13.29+L531*22.52)*12*0.85</f>
        <v>1162139.7437999998</v>
      </c>
      <c r="AS531" s="3">
        <f>+(K531*13.29+L531*22.52)*12*30-S35</f>
        <v>34517188.239999995</v>
      </c>
      <c r="AT531" s="6">
        <f t="shared" si="159"/>
        <v>-34169622.559999995</v>
      </c>
      <c r="AU531" s="6" t="e">
        <v>#REF!</v>
      </c>
      <c r="AV531" s="6" t="e">
        <v>#REF!</v>
      </c>
      <c r="AW531" s="62">
        <f t="shared" si="149"/>
        <v>5964947.0233067553</v>
      </c>
      <c r="AX531" s="55"/>
      <c r="AY531" s="55"/>
      <c r="AZ531" s="55">
        <v>5837297.1570079904</v>
      </c>
      <c r="BA531" s="55"/>
      <c r="BB531" s="55"/>
      <c r="BC531" s="55"/>
      <c r="BD531" s="55"/>
      <c r="BE531" s="55"/>
      <c r="BF531" s="55"/>
      <c r="BG531" s="55"/>
      <c r="BH531" s="55">
        <v>0</v>
      </c>
      <c r="BI531" s="55">
        <v>0</v>
      </c>
      <c r="BJ531" s="55"/>
      <c r="BK531" s="63"/>
      <c r="BL531" s="64">
        <v>127649.866298765</v>
      </c>
      <c r="BM531" s="62">
        <f t="shared" si="150"/>
        <v>5964947.0233067553</v>
      </c>
      <c r="BN531" s="55"/>
      <c r="BO531" s="55"/>
      <c r="BP531" s="55">
        <v>5837297.1570079904</v>
      </c>
      <c r="BQ531" s="55"/>
      <c r="BR531" s="55"/>
      <c r="BS531" s="55"/>
      <c r="BT531" s="55"/>
      <c r="BU531" s="55"/>
      <c r="BV531" s="55"/>
      <c r="BW531" s="55"/>
      <c r="BX531" s="55">
        <v>0</v>
      </c>
      <c r="BY531" s="55">
        <v>0</v>
      </c>
      <c r="BZ531" s="55"/>
      <c r="CA531" s="63"/>
      <c r="CB531" s="64">
        <v>127649.866298765</v>
      </c>
      <c r="CD531" s="75"/>
      <c r="CE531" s="6"/>
    </row>
    <row r="532" spans="1:84" x14ac:dyDescent="0.25">
      <c r="A532" s="105">
        <f t="shared" si="151"/>
        <v>510</v>
      </c>
      <c r="B532" s="107">
        <f t="shared" si="157"/>
        <v>51</v>
      </c>
      <c r="C532" s="53" t="s">
        <v>75</v>
      </c>
      <c r="D532" s="53" t="s">
        <v>86</v>
      </c>
      <c r="E532" s="54">
        <v>1990</v>
      </c>
      <c r="F532" s="54">
        <v>2017</v>
      </c>
      <c r="G532" s="54" t="s">
        <v>64</v>
      </c>
      <c r="H532" s="54">
        <v>9</v>
      </c>
      <c r="I532" s="54">
        <v>2</v>
      </c>
      <c r="J532" s="55">
        <v>9044.7000000000007</v>
      </c>
      <c r="K532" s="55">
        <v>7731.7</v>
      </c>
      <c r="L532" s="55">
        <v>0</v>
      </c>
      <c r="M532" s="56">
        <v>294</v>
      </c>
      <c r="N532" s="112">
        <v>4916517.97</v>
      </c>
      <c r="O532" s="55"/>
      <c r="P532" s="63"/>
      <c r="Q532" s="63"/>
      <c r="R532" s="62">
        <v>4916517.97</v>
      </c>
      <c r="S532" s="63"/>
      <c r="T532" s="63"/>
      <c r="U532" s="55">
        <v>635.890939165021</v>
      </c>
      <c r="V532" s="55">
        <v>635.890939165021</v>
      </c>
      <c r="W532" s="59">
        <v>2024</v>
      </c>
      <c r="X532" s="6" t="e">
        <v>#REF!</v>
      </c>
      <c r="Z532" s="62">
        <f t="shared" si="158"/>
        <v>55666319.910854913</v>
      </c>
      <c r="AA532" s="55">
        <v>18613451.927455001</v>
      </c>
      <c r="AB532" s="55">
        <v>7447156.0149639295</v>
      </c>
      <c r="AC532" s="55">
        <v>5500453.7563591599</v>
      </c>
      <c r="AD532" s="55">
        <v>3515042.1138698198</v>
      </c>
      <c r="AE532" s="55">
        <v>0</v>
      </c>
      <c r="AF532" s="55"/>
      <c r="AG532" s="55">
        <v>826969.68964449002</v>
      </c>
      <c r="AH532" s="55">
        <v>0</v>
      </c>
      <c r="AI532" s="55">
        <v>0</v>
      </c>
      <c r="AJ532" s="55">
        <v>12942145.7927243</v>
      </c>
      <c r="AK532" s="55">
        <v>0</v>
      </c>
      <c r="AL532" s="55">
        <v>0</v>
      </c>
      <c r="AM532" s="55">
        <v>5196291.3990376899</v>
      </c>
      <c r="AN532" s="63">
        <v>556663.19910854904</v>
      </c>
      <c r="AO532" s="64">
        <v>1068146.0176919701</v>
      </c>
      <c r="AP532" s="61">
        <f>+N532-'Приложение №2'!E532</f>
        <v>-4.3421946465969086E-3</v>
      </c>
      <c r="AQ532" s="1">
        <v>4614966.51</v>
      </c>
      <c r="AR532" s="3">
        <f>+(K532*13.29+L532*22.52)*12*0.85</f>
        <v>1048093.7885999999</v>
      </c>
      <c r="AS532" s="3">
        <f>+(K532*13.29+L532*22.52)*12*30</f>
        <v>36991545.479999997</v>
      </c>
      <c r="AT532" s="6">
        <f t="shared" si="159"/>
        <v>-36991545.479999997</v>
      </c>
      <c r="AU532" s="6" t="e">
        <v>#REF!</v>
      </c>
      <c r="AV532" s="6" t="e">
        <v>#REF!</v>
      </c>
      <c r="AW532" s="62">
        <f t="shared" si="149"/>
        <v>4916517.9743421944</v>
      </c>
      <c r="AX532" s="55"/>
      <c r="AY532" s="55"/>
      <c r="AZ532" s="55"/>
      <c r="BA532" s="55"/>
      <c r="BB532" s="55">
        <v>0</v>
      </c>
      <c r="BC532" s="55"/>
      <c r="BD532" s="55"/>
      <c r="BE532" s="55">
        <v>0</v>
      </c>
      <c r="BF532" s="55">
        <v>0</v>
      </c>
      <c r="BG532" s="55">
        <v>3968655.74</v>
      </c>
      <c r="BH532" s="55">
        <v>0</v>
      </c>
      <c r="BI532" s="55">
        <v>0</v>
      </c>
      <c r="BJ532" s="55"/>
      <c r="BK532" s="63"/>
      <c r="BL532" s="64">
        <v>947862.23434219405</v>
      </c>
      <c r="BM532" s="62">
        <f t="shared" si="150"/>
        <v>4916517.9743421944</v>
      </c>
      <c r="BN532" s="55"/>
      <c r="BO532" s="55"/>
      <c r="BP532" s="55"/>
      <c r="BQ532" s="55"/>
      <c r="BR532" s="55">
        <v>0</v>
      </c>
      <c r="BS532" s="55"/>
      <c r="BT532" s="55"/>
      <c r="BU532" s="55">
        <v>0</v>
      </c>
      <c r="BV532" s="55">
        <v>0</v>
      </c>
      <c r="BW532" s="55">
        <v>3968655.74</v>
      </c>
      <c r="BX532" s="55">
        <v>0</v>
      </c>
      <c r="BY532" s="55">
        <v>0</v>
      </c>
      <c r="BZ532" s="55"/>
      <c r="CA532" s="63"/>
      <c r="CB532" s="64">
        <v>947862.23434219405</v>
      </c>
      <c r="CD532" s="75"/>
      <c r="CE532" s="6"/>
    </row>
    <row r="533" spans="1:84" x14ac:dyDescent="0.25">
      <c r="A533" s="105">
        <f t="shared" si="151"/>
        <v>511</v>
      </c>
      <c r="B533" s="107">
        <f t="shared" si="157"/>
        <v>52</v>
      </c>
      <c r="C533" s="53" t="s">
        <v>75</v>
      </c>
      <c r="D533" s="53" t="s">
        <v>89</v>
      </c>
      <c r="E533" s="54">
        <v>1990</v>
      </c>
      <c r="F533" s="54">
        <v>2017</v>
      </c>
      <c r="G533" s="54" t="s">
        <v>64</v>
      </c>
      <c r="H533" s="54">
        <v>10</v>
      </c>
      <c r="I533" s="54">
        <v>1</v>
      </c>
      <c r="J533" s="55">
        <v>3562.9</v>
      </c>
      <c r="K533" s="55">
        <v>3045.6</v>
      </c>
      <c r="L533" s="55">
        <v>0</v>
      </c>
      <c r="M533" s="56">
        <v>121</v>
      </c>
      <c r="N533" s="112">
        <v>2204474.69</v>
      </c>
      <c r="O533" s="55"/>
      <c r="P533" s="63"/>
      <c r="Q533" s="63"/>
      <c r="R533" s="62">
        <v>111696.62</v>
      </c>
      <c r="S533" s="62">
        <v>2092778.07</v>
      </c>
      <c r="T533" s="63"/>
      <c r="U533" s="55">
        <v>723.82279211574496</v>
      </c>
      <c r="V533" s="55">
        <v>723.82279211574496</v>
      </c>
      <c r="W533" s="59">
        <v>2024</v>
      </c>
      <c r="X533" s="6" t="e">
        <v>#REF!</v>
      </c>
      <c r="Z533" s="62">
        <f t="shared" si="158"/>
        <v>21832542.931861959</v>
      </c>
      <c r="AA533" s="55">
        <v>7300266.82142979</v>
      </c>
      <c r="AB533" s="55">
        <v>2920802.9860308599</v>
      </c>
      <c r="AC533" s="55">
        <v>2157298.9371804199</v>
      </c>
      <c r="AD533" s="55">
        <v>1378612.9203666099</v>
      </c>
      <c r="AE533" s="55">
        <v>0</v>
      </c>
      <c r="AF533" s="55"/>
      <c r="AG533" s="55">
        <v>324340.66562016797</v>
      </c>
      <c r="AH533" s="55">
        <v>0</v>
      </c>
      <c r="AI533" s="55">
        <v>0</v>
      </c>
      <c r="AJ533" s="55">
        <v>5075958.9299699701</v>
      </c>
      <c r="AK533" s="55">
        <v>0</v>
      </c>
      <c r="AL533" s="55">
        <v>0</v>
      </c>
      <c r="AM533" s="55">
        <v>2038005.3008288301</v>
      </c>
      <c r="AN533" s="63">
        <v>218325.42931862001</v>
      </c>
      <c r="AO533" s="64">
        <v>418930.94111669098</v>
      </c>
      <c r="AP533" s="61">
        <f>+N533-'Приложение №2'!E533</f>
        <v>-5.6677088141441345E-3</v>
      </c>
      <c r="AQ533" s="6">
        <f>1845490.3-R39</f>
        <v>-301158.82262939983</v>
      </c>
      <c r="AR533" s="3">
        <f>+(K533*13.29+L533*22.52)*12*0.85</f>
        <v>412855.44479999994</v>
      </c>
      <c r="AS533" s="3">
        <f>+(K533*13.29+L533*22.52)*12*30-S39</f>
        <v>10152121.529999997</v>
      </c>
      <c r="AT533" s="6">
        <f t="shared" si="159"/>
        <v>-8059343.4599999972</v>
      </c>
      <c r="AU533" s="6" t="e">
        <v>#REF!</v>
      </c>
      <c r="AV533" s="6" t="e">
        <v>#REF!</v>
      </c>
      <c r="AW533" s="62">
        <f t="shared" si="149"/>
        <v>2204474.6956677088</v>
      </c>
      <c r="AX533" s="55"/>
      <c r="AY533" s="55"/>
      <c r="AZ533" s="55">
        <v>2157298.9371804199</v>
      </c>
      <c r="BA533" s="55"/>
      <c r="BB533" s="55">
        <v>0</v>
      </c>
      <c r="BC533" s="55"/>
      <c r="BD533" s="55"/>
      <c r="BE533" s="55">
        <v>0</v>
      </c>
      <c r="BF533" s="55">
        <v>0</v>
      </c>
      <c r="BG533" s="55"/>
      <c r="BH533" s="55">
        <v>0</v>
      </c>
      <c r="BI533" s="55">
        <v>0</v>
      </c>
      <c r="BJ533" s="55"/>
      <c r="BK533" s="63"/>
      <c r="BL533" s="64">
        <v>47175.758487289</v>
      </c>
      <c r="BM533" s="62">
        <f t="shared" si="150"/>
        <v>2204474.6956677088</v>
      </c>
      <c r="BN533" s="55"/>
      <c r="BO533" s="55"/>
      <c r="BP533" s="55">
        <v>2157298.9371804199</v>
      </c>
      <c r="BQ533" s="55"/>
      <c r="BR533" s="55">
        <v>0</v>
      </c>
      <c r="BS533" s="55"/>
      <c r="BT533" s="55"/>
      <c r="BU533" s="55">
        <v>0</v>
      </c>
      <c r="BV533" s="55">
        <v>0</v>
      </c>
      <c r="BW533" s="55"/>
      <c r="BX533" s="55">
        <v>0</v>
      </c>
      <c r="BY533" s="55">
        <v>0</v>
      </c>
      <c r="BZ533" s="55"/>
      <c r="CA533" s="63"/>
      <c r="CB533" s="64">
        <v>47175.758487289</v>
      </c>
      <c r="CD533" s="75"/>
      <c r="CE533" s="6"/>
    </row>
    <row r="534" spans="1:84" x14ac:dyDescent="0.25">
      <c r="A534" s="105">
        <f t="shared" si="151"/>
        <v>512</v>
      </c>
      <c r="B534" s="107">
        <f t="shared" si="157"/>
        <v>53</v>
      </c>
      <c r="C534" s="53" t="s">
        <v>75</v>
      </c>
      <c r="D534" s="53" t="s">
        <v>90</v>
      </c>
      <c r="E534" s="54">
        <v>1990</v>
      </c>
      <c r="F534" s="54">
        <v>2017</v>
      </c>
      <c r="G534" s="54" t="s">
        <v>64</v>
      </c>
      <c r="H534" s="54">
        <v>9</v>
      </c>
      <c r="I534" s="54">
        <v>1</v>
      </c>
      <c r="J534" s="55">
        <v>3197.5</v>
      </c>
      <c r="K534" s="55">
        <v>2621.1</v>
      </c>
      <c r="L534" s="55">
        <v>132.4</v>
      </c>
      <c r="M534" s="56">
        <v>94</v>
      </c>
      <c r="N534" s="112">
        <v>1338332.72</v>
      </c>
      <c r="O534" s="55"/>
      <c r="P534" s="63"/>
      <c r="Q534" s="63"/>
      <c r="R534" s="62">
        <v>311099.68</v>
      </c>
      <c r="S534" s="62">
        <v>1027233.04</v>
      </c>
      <c r="T534" s="63"/>
      <c r="U534" s="55">
        <v>486.04783651685102</v>
      </c>
      <c r="V534" s="55">
        <v>486.04783651685102</v>
      </c>
      <c r="W534" s="59">
        <v>2024</v>
      </c>
      <c r="X534" s="6" t="e">
        <v>#REF!</v>
      </c>
      <c r="Z534" s="62">
        <f t="shared" si="158"/>
        <v>19626786.772724852</v>
      </c>
      <c r="AA534" s="55">
        <v>6562716.0672657704</v>
      </c>
      <c r="AB534" s="55">
        <v>2625712.3410166502</v>
      </c>
      <c r="AC534" s="55">
        <v>1939345.6079399099</v>
      </c>
      <c r="AD534" s="55">
        <v>1239330.75109961</v>
      </c>
      <c r="AE534" s="55">
        <v>0</v>
      </c>
      <c r="AF534" s="55"/>
      <c r="AG534" s="55">
        <v>291572.31503988599</v>
      </c>
      <c r="AH534" s="55">
        <v>0</v>
      </c>
      <c r="AI534" s="55">
        <v>0</v>
      </c>
      <c r="AJ534" s="55">
        <v>4563131.4637306398</v>
      </c>
      <c r="AK534" s="55">
        <v>0</v>
      </c>
      <c r="AL534" s="55">
        <v>0</v>
      </c>
      <c r="AM534" s="55">
        <v>1832104.2860598699</v>
      </c>
      <c r="AN534" s="63">
        <v>196267.867727248</v>
      </c>
      <c r="AO534" s="64">
        <v>376606.07284526702</v>
      </c>
      <c r="AP534" s="61">
        <f>+N534-'Приложение №2'!E534</f>
        <v>2.1508517675101757E-3</v>
      </c>
      <c r="AQ534" s="1">
        <v>1678059.52</v>
      </c>
      <c r="AR534" s="3">
        <f>+(K534*13.29+L534*22.52)*12*0.85</f>
        <v>385723.88339999993</v>
      </c>
      <c r="AS534" s="3">
        <f>+(K534*13.29+L534*22.52)*12*30</f>
        <v>13613784.119999999</v>
      </c>
      <c r="AT534" s="6">
        <f t="shared" si="159"/>
        <v>-12586551.079999998</v>
      </c>
      <c r="AU534" s="6" t="e">
        <v>#REF!</v>
      </c>
      <c r="AV534" s="6" t="e">
        <v>#REF!</v>
      </c>
      <c r="AW534" s="62">
        <f t="shared" si="149"/>
        <v>1338332.7178491482</v>
      </c>
      <c r="AX534" s="55"/>
      <c r="AY534" s="55"/>
      <c r="AZ534" s="55"/>
      <c r="BA534" s="55"/>
      <c r="BB534" s="55"/>
      <c r="BC534" s="55"/>
      <c r="BD534" s="55"/>
      <c r="BE534" s="55">
        <v>0</v>
      </c>
      <c r="BF534" s="55">
        <v>0</v>
      </c>
      <c r="BG534" s="55">
        <v>1088656.8700000001</v>
      </c>
      <c r="BH534" s="55">
        <v>0</v>
      </c>
      <c r="BI534" s="55">
        <v>0</v>
      </c>
      <c r="BJ534" s="55"/>
      <c r="BK534" s="63"/>
      <c r="BL534" s="64">
        <v>249675.84784914801</v>
      </c>
      <c r="BM534" s="62">
        <f t="shared" si="150"/>
        <v>1338332.7178491482</v>
      </c>
      <c r="BN534" s="55"/>
      <c r="BO534" s="55"/>
      <c r="BP534" s="55"/>
      <c r="BQ534" s="55"/>
      <c r="BR534" s="55"/>
      <c r="BS534" s="55"/>
      <c r="BT534" s="55"/>
      <c r="BU534" s="55">
        <v>0</v>
      </c>
      <c r="BV534" s="55">
        <v>0</v>
      </c>
      <c r="BW534" s="55">
        <v>1088656.8700000001</v>
      </c>
      <c r="BX534" s="55">
        <v>0</v>
      </c>
      <c r="BY534" s="55">
        <v>0</v>
      </c>
      <c r="BZ534" s="55"/>
      <c r="CA534" s="63"/>
      <c r="CB534" s="64">
        <v>249675.84784914801</v>
      </c>
      <c r="CD534" s="75"/>
      <c r="CE534" s="6"/>
    </row>
    <row r="535" spans="1:84" x14ac:dyDescent="0.25">
      <c r="A535" s="105">
        <f t="shared" si="151"/>
        <v>513</v>
      </c>
      <c r="B535" s="107">
        <f t="shared" si="157"/>
        <v>54</v>
      </c>
      <c r="C535" s="53" t="s">
        <v>75</v>
      </c>
      <c r="D535" s="53" t="s">
        <v>550</v>
      </c>
      <c r="E535" s="54">
        <v>1990</v>
      </c>
      <c r="F535" s="54">
        <v>2017</v>
      </c>
      <c r="G535" s="54" t="s">
        <v>64</v>
      </c>
      <c r="H535" s="54">
        <v>9</v>
      </c>
      <c r="I535" s="54">
        <v>1</v>
      </c>
      <c r="J535" s="55">
        <v>3238.8</v>
      </c>
      <c r="K535" s="55">
        <v>2708.3</v>
      </c>
      <c r="L535" s="55">
        <v>76.599999999999994</v>
      </c>
      <c r="M535" s="56">
        <v>79</v>
      </c>
      <c r="N535" s="112">
        <v>2354342.29</v>
      </c>
      <c r="O535" s="55"/>
      <c r="P535" s="63"/>
      <c r="Q535" s="63"/>
      <c r="R535" s="62">
        <v>757569.22</v>
      </c>
      <c r="S535" s="62">
        <v>1596773.07</v>
      </c>
      <c r="T535" s="63"/>
      <c r="U535" s="55">
        <v>845.39563076379795</v>
      </c>
      <c r="V535" s="55">
        <v>845.39563076379795</v>
      </c>
      <c r="W535" s="59">
        <v>2024</v>
      </c>
      <c r="X535" s="6" t="e">
        <v>#REF!</v>
      </c>
      <c r="Z535" s="62">
        <f t="shared" si="158"/>
        <v>19952132.223097906</v>
      </c>
      <c r="AA535" s="55">
        <v>6671503.6054043202</v>
      </c>
      <c r="AB535" s="55">
        <v>2669237.7318017199</v>
      </c>
      <c r="AC535" s="55">
        <v>1971493.36995265</v>
      </c>
      <c r="AD535" s="55">
        <v>1259874.6448121599</v>
      </c>
      <c r="AE535" s="55">
        <v>0</v>
      </c>
      <c r="AF535" s="55"/>
      <c r="AG535" s="55">
        <v>296405.59352053801</v>
      </c>
      <c r="AH535" s="55">
        <v>0</v>
      </c>
      <c r="AI535" s="55">
        <v>0</v>
      </c>
      <c r="AJ535" s="55">
        <v>4638772.6819478804</v>
      </c>
      <c r="AK535" s="55">
        <v>0</v>
      </c>
      <c r="AL535" s="55">
        <v>0</v>
      </c>
      <c r="AM535" s="55">
        <v>1862474.3512662</v>
      </c>
      <c r="AN535" s="63">
        <v>199521.32223097901</v>
      </c>
      <c r="AO535" s="64">
        <v>382848.92216145498</v>
      </c>
      <c r="AP535" s="61">
        <f>+N535-'Приложение №2'!E535</f>
        <v>-2.1141050383448601E-3</v>
      </c>
      <c r="AQ535" s="1">
        <f>1684481.19-1311639.03</f>
        <v>372842.15999999992</v>
      </c>
      <c r="AR535" s="3">
        <f>+(K535*13.29+L535*22.52)*12*0.85</f>
        <v>384727.05779999995</v>
      </c>
      <c r="AS535" s="3">
        <f>+(K535*13.29+L535*22.52)*12*30-4612448.03</f>
        <v>8966154.0099999979</v>
      </c>
      <c r="AT535" s="6">
        <f t="shared" si="159"/>
        <v>-7369380.9399999976</v>
      </c>
      <c r="AU535" s="6" t="e">
        <v>#REF!</v>
      </c>
      <c r="AV535" s="6" t="e">
        <v>#REF!</v>
      </c>
      <c r="AW535" s="62">
        <f t="shared" si="149"/>
        <v>2354342.2921141051</v>
      </c>
      <c r="AX535" s="55"/>
      <c r="AY535" s="55"/>
      <c r="AZ535" s="55">
        <v>1971493.36995265</v>
      </c>
      <c r="BA535" s="55"/>
      <c r="BB535" s="55">
        <v>0</v>
      </c>
      <c r="BC535" s="55"/>
      <c r="BD535" s="55"/>
      <c r="BE535" s="55">
        <v>0</v>
      </c>
      <c r="BF535" s="55">
        <v>0</v>
      </c>
      <c r="BG535" s="55"/>
      <c r="BH535" s="55">
        <v>0</v>
      </c>
      <c r="BI535" s="55">
        <v>0</v>
      </c>
      <c r="BJ535" s="55"/>
      <c r="BK535" s="63"/>
      <c r="BL535" s="64">
        <v>382848.92216145498</v>
      </c>
      <c r="BM535" s="62">
        <f t="shared" si="150"/>
        <v>2354342.2921141051</v>
      </c>
      <c r="BN535" s="55"/>
      <c r="BO535" s="55"/>
      <c r="BP535" s="55">
        <v>1971493.36995265</v>
      </c>
      <c r="BQ535" s="55"/>
      <c r="BR535" s="55">
        <v>0</v>
      </c>
      <c r="BS535" s="55"/>
      <c r="BT535" s="55"/>
      <c r="BU535" s="55">
        <v>0</v>
      </c>
      <c r="BV535" s="55">
        <v>0</v>
      </c>
      <c r="BW535" s="55"/>
      <c r="BX535" s="55">
        <v>0</v>
      </c>
      <c r="BY535" s="55">
        <v>0</v>
      </c>
      <c r="BZ535" s="55"/>
      <c r="CA535" s="63"/>
      <c r="CB535" s="64">
        <v>382848.92216145498</v>
      </c>
      <c r="CD535" s="75"/>
      <c r="CE535" s="6"/>
    </row>
    <row r="536" spans="1:84" x14ac:dyDescent="0.25">
      <c r="A536" s="105">
        <f t="shared" si="151"/>
        <v>514</v>
      </c>
      <c r="B536" s="107">
        <f t="shared" si="157"/>
        <v>55</v>
      </c>
      <c r="C536" s="53" t="s">
        <v>75</v>
      </c>
      <c r="D536" s="53" t="s">
        <v>551</v>
      </c>
      <c r="E536" s="54">
        <v>1988</v>
      </c>
      <c r="F536" s="54">
        <v>2016</v>
      </c>
      <c r="G536" s="54" t="s">
        <v>64</v>
      </c>
      <c r="H536" s="54">
        <v>5</v>
      </c>
      <c r="I536" s="54">
        <v>6</v>
      </c>
      <c r="J536" s="55">
        <v>5149.1000000000004</v>
      </c>
      <c r="K536" s="55">
        <v>4596.3999999999996</v>
      </c>
      <c r="L536" s="55">
        <v>0</v>
      </c>
      <c r="M536" s="56">
        <v>197</v>
      </c>
      <c r="N536" s="112">
        <v>25882743.190000001</v>
      </c>
      <c r="O536" s="55"/>
      <c r="P536" s="62">
        <v>2733720.6</v>
      </c>
      <c r="Q536" s="63"/>
      <c r="R536" s="62">
        <v>3131243.51</v>
      </c>
      <c r="S536" s="62">
        <v>17374392</v>
      </c>
      <c r="T536" s="62">
        <v>2643387.08</v>
      </c>
      <c r="U536" s="63">
        <v>5631.0902419284703</v>
      </c>
      <c r="V536" s="63">
        <v>1206.2830200640001</v>
      </c>
      <c r="W536" s="59">
        <v>2024</v>
      </c>
      <c r="X536" s="6" t="e">
        <v>#REF!</v>
      </c>
      <c r="Z536" s="62">
        <f t="shared" si="158"/>
        <v>22653297.028702125</v>
      </c>
      <c r="AA536" s="55">
        <v>0</v>
      </c>
      <c r="AB536" s="55">
        <v>0</v>
      </c>
      <c r="AC536" s="55">
        <v>0</v>
      </c>
      <c r="AD536" s="55">
        <v>0</v>
      </c>
      <c r="AE536" s="55">
        <v>0</v>
      </c>
      <c r="AF536" s="55"/>
      <c r="AG536" s="55">
        <v>0</v>
      </c>
      <c r="AH536" s="55">
        <v>0</v>
      </c>
      <c r="AI536" s="55">
        <v>0</v>
      </c>
      <c r="AJ536" s="55">
        <v>0</v>
      </c>
      <c r="AK536" s="55">
        <v>22006228.384087902</v>
      </c>
      <c r="AL536" s="55">
        <v>0</v>
      </c>
      <c r="AM536" s="55">
        <v>141837</v>
      </c>
      <c r="AN536" s="55">
        <v>24000</v>
      </c>
      <c r="AO536" s="64">
        <v>481231.64461422397</v>
      </c>
      <c r="AP536" s="61">
        <f>+N536-'Приложение №2'!E536</f>
        <v>2.0000003278255463E-3</v>
      </c>
      <c r="AQ536" s="65">
        <v>2638969.0699999998</v>
      </c>
      <c r="AR536" s="3">
        <f>+(K536*10.5+L536*21)*12*0.85</f>
        <v>492274.43999999989</v>
      </c>
      <c r="AS536" s="3">
        <f>+(K536*10.5+L536*21)*12*30</f>
        <v>17374391.999999996</v>
      </c>
      <c r="AT536" s="6">
        <f t="shared" si="159"/>
        <v>0</v>
      </c>
      <c r="AU536" s="6" t="e">
        <v>#REF!</v>
      </c>
      <c r="AV536" s="6" t="e">
        <v>#REF!</v>
      </c>
      <c r="AW536" s="110">
        <f t="shared" si="149"/>
        <v>25882743.188000001</v>
      </c>
      <c r="AX536" s="55">
        <v>0</v>
      </c>
      <c r="AY536" s="55">
        <v>0</v>
      </c>
      <c r="AZ536" s="55">
        <v>0</v>
      </c>
      <c r="BA536" s="55">
        <v>0</v>
      </c>
      <c r="BB536" s="55">
        <v>0</v>
      </c>
      <c r="BC536" s="55"/>
      <c r="BD536" s="55"/>
      <c r="BE536" s="55">
        <v>0</v>
      </c>
      <c r="BF536" s="55">
        <v>0</v>
      </c>
      <c r="BG536" s="55">
        <v>0</v>
      </c>
      <c r="BH536" s="55">
        <v>25328852.4837768</v>
      </c>
      <c r="BI536" s="55">
        <v>0</v>
      </c>
      <c r="BJ536" s="55"/>
      <c r="BK536" s="55"/>
      <c r="BL536" s="64">
        <v>553890.70422319998</v>
      </c>
      <c r="BM536" s="110">
        <f t="shared" si="150"/>
        <v>25882743.188000001</v>
      </c>
      <c r="BN536" s="55">
        <v>0</v>
      </c>
      <c r="BO536" s="55">
        <v>0</v>
      </c>
      <c r="BP536" s="55">
        <v>0</v>
      </c>
      <c r="BQ536" s="55">
        <v>0</v>
      </c>
      <c r="BR536" s="55">
        <v>0</v>
      </c>
      <c r="BS536" s="55"/>
      <c r="BT536" s="55"/>
      <c r="BU536" s="55">
        <v>0</v>
      </c>
      <c r="BV536" s="55">
        <v>0</v>
      </c>
      <c r="BW536" s="55">
        <v>0</v>
      </c>
      <c r="BX536" s="55">
        <v>25328852.4837768</v>
      </c>
      <c r="BY536" s="55">
        <v>0</v>
      </c>
      <c r="BZ536" s="55"/>
      <c r="CA536" s="55"/>
      <c r="CB536" s="64">
        <v>553890.70422319998</v>
      </c>
      <c r="CD536" s="75"/>
      <c r="CE536" s="6"/>
    </row>
    <row r="537" spans="1:84" x14ac:dyDescent="0.25">
      <c r="A537" s="105">
        <f t="shared" si="151"/>
        <v>515</v>
      </c>
      <c r="B537" s="107">
        <f t="shared" si="157"/>
        <v>56</v>
      </c>
      <c r="C537" s="53" t="s">
        <v>75</v>
      </c>
      <c r="D537" s="53" t="s">
        <v>461</v>
      </c>
      <c r="E537" s="54">
        <v>1989</v>
      </c>
      <c r="F537" s="54">
        <v>2016</v>
      </c>
      <c r="G537" s="54" t="s">
        <v>64</v>
      </c>
      <c r="H537" s="54">
        <v>5</v>
      </c>
      <c r="I537" s="54">
        <v>4</v>
      </c>
      <c r="J537" s="55">
        <v>5827.1</v>
      </c>
      <c r="K537" s="55">
        <v>4877.5</v>
      </c>
      <c r="L537" s="55">
        <v>0</v>
      </c>
      <c r="M537" s="56">
        <v>218</v>
      </c>
      <c r="N537" s="112">
        <v>12984744.640000001</v>
      </c>
      <c r="O537" s="55"/>
      <c r="P537" s="63"/>
      <c r="Q537" s="63"/>
      <c r="R537" s="63"/>
      <c r="S537" s="62">
        <v>11240653.640000001</v>
      </c>
      <c r="T537" s="62">
        <v>1744091</v>
      </c>
      <c r="U537" s="63">
        <v>2662.1721458726902</v>
      </c>
      <c r="V537" s="63">
        <v>1209.2830200640001</v>
      </c>
      <c r="W537" s="59">
        <v>2024</v>
      </c>
      <c r="X537" s="6" t="e">
        <v>#REF!</v>
      </c>
      <c r="Z537" s="62">
        <f t="shared" si="158"/>
        <v>20671116.862985972</v>
      </c>
      <c r="AA537" s="55">
        <v>9672123.3663251493</v>
      </c>
      <c r="AB537" s="55">
        <v>4139883.0594339101</v>
      </c>
      <c r="AC537" s="55">
        <v>0</v>
      </c>
      <c r="AD537" s="55">
        <v>3903303.7014767202</v>
      </c>
      <c r="AE537" s="55">
        <v>0</v>
      </c>
      <c r="AF537" s="55"/>
      <c r="AG537" s="55">
        <v>401573.35786682402</v>
      </c>
      <c r="AH537" s="55">
        <v>0</v>
      </c>
      <c r="AI537" s="55">
        <v>0</v>
      </c>
      <c r="AJ537" s="55">
        <v>0</v>
      </c>
      <c r="AK537" s="55">
        <v>0</v>
      </c>
      <c r="AL537" s="55">
        <v>0</v>
      </c>
      <c r="AM537" s="55">
        <v>1951342.6603252499</v>
      </c>
      <c r="AN537" s="63">
        <v>206711.16862986001</v>
      </c>
      <c r="AO537" s="64">
        <v>396179.54892826098</v>
      </c>
      <c r="AP537" s="61">
        <f>+N537-'Приложение №2'!E537</f>
        <v>-1.494038850069046E-3</v>
      </c>
      <c r="AQ537" s="65">
        <f>2848311.76-R389</f>
        <v>1397493.2599999998</v>
      </c>
      <c r="AR537" s="3">
        <f>+(K537*10.5+L537*21)*12*0.85</f>
        <v>522380.25</v>
      </c>
      <c r="AS537" s="3">
        <f>+(K537*10.5+L537*21)*12*30-S389</f>
        <v>15651150.261229141</v>
      </c>
      <c r="AT537" s="6">
        <f t="shared" si="159"/>
        <v>-4410496.6212291401</v>
      </c>
      <c r="AU537" s="6" t="e">
        <v>#REF!</v>
      </c>
      <c r="AV537" s="6" t="e">
        <v>#REF!</v>
      </c>
      <c r="AW537" s="110">
        <f t="shared" si="149"/>
        <v>12984744.641494039</v>
      </c>
      <c r="AX537" s="55"/>
      <c r="AY537" s="55">
        <v>7852851.42133338</v>
      </c>
      <c r="AZ537" s="55">
        <v>0</v>
      </c>
      <c r="BA537" s="55">
        <v>4638601.5713897999</v>
      </c>
      <c r="BB537" s="55">
        <v>0</v>
      </c>
      <c r="BC537" s="55"/>
      <c r="BD537" s="55"/>
      <c r="BE537" s="55">
        <v>0</v>
      </c>
      <c r="BF537" s="55">
        <v>0</v>
      </c>
      <c r="BG537" s="55">
        <v>0</v>
      </c>
      <c r="BH537" s="55">
        <v>0</v>
      </c>
      <c r="BI537" s="55">
        <v>0</v>
      </c>
      <c r="BJ537" s="55"/>
      <c r="BK537" s="63"/>
      <c r="BL537" s="64">
        <v>493291.648770859</v>
      </c>
      <c r="BM537" s="110">
        <f t="shared" si="150"/>
        <v>12984744.641494039</v>
      </c>
      <c r="BN537" s="55"/>
      <c r="BO537" s="55">
        <v>7852851.42133338</v>
      </c>
      <c r="BP537" s="55">
        <v>0</v>
      </c>
      <c r="BQ537" s="55">
        <v>4638601.5713897999</v>
      </c>
      <c r="BR537" s="55">
        <v>0</v>
      </c>
      <c r="BS537" s="55"/>
      <c r="BT537" s="55"/>
      <c r="BU537" s="55">
        <v>0</v>
      </c>
      <c r="BV537" s="55">
        <v>0</v>
      </c>
      <c r="BW537" s="55">
        <v>0</v>
      </c>
      <c r="BX537" s="55">
        <v>0</v>
      </c>
      <c r="BY537" s="55">
        <v>0</v>
      </c>
      <c r="BZ537" s="55"/>
      <c r="CA537" s="63"/>
      <c r="CB537" s="64">
        <v>493291.648770859</v>
      </c>
      <c r="CD537" s="75"/>
      <c r="CE537" s="6"/>
    </row>
    <row r="538" spans="1:84" x14ac:dyDescent="0.25">
      <c r="A538" s="105">
        <f t="shared" si="151"/>
        <v>516</v>
      </c>
      <c r="B538" s="107">
        <f t="shared" si="157"/>
        <v>57</v>
      </c>
      <c r="C538" s="53" t="s">
        <v>552</v>
      </c>
      <c r="D538" s="53" t="s">
        <v>553</v>
      </c>
      <c r="E538" s="54">
        <v>1994</v>
      </c>
      <c r="F538" s="54">
        <v>1994</v>
      </c>
      <c r="G538" s="54" t="s">
        <v>64</v>
      </c>
      <c r="H538" s="54">
        <v>10</v>
      </c>
      <c r="I538" s="54">
        <v>1</v>
      </c>
      <c r="J538" s="55">
        <v>4860.7</v>
      </c>
      <c r="K538" s="55">
        <v>4172.3999999999996</v>
      </c>
      <c r="L538" s="55">
        <v>0</v>
      </c>
      <c r="M538" s="56">
        <v>162</v>
      </c>
      <c r="N538" s="112">
        <v>2916920.88</v>
      </c>
      <c r="O538" s="55"/>
      <c r="P538" s="62"/>
      <c r="Q538" s="63"/>
      <c r="R538" s="108">
        <v>2916920.88</v>
      </c>
      <c r="T538" s="64"/>
      <c r="U538" s="63">
        <v>1023.64346658997</v>
      </c>
      <c r="V538" s="63">
        <v>1210.2830200640001</v>
      </c>
      <c r="W538" s="59">
        <v>2024</v>
      </c>
      <c r="X538" s="6"/>
      <c r="Z538" s="62"/>
      <c r="AA538" s="55"/>
      <c r="AB538" s="55"/>
      <c r="AC538" s="55"/>
      <c r="AD538" s="55"/>
      <c r="AE538" s="55"/>
      <c r="AF538" s="55"/>
      <c r="AG538" s="55"/>
      <c r="AH538" s="55"/>
      <c r="AI538" s="55"/>
      <c r="AJ538" s="55"/>
      <c r="AK538" s="55"/>
      <c r="AL538" s="55"/>
      <c r="AM538" s="55"/>
      <c r="AN538" s="63"/>
      <c r="AO538" s="64"/>
      <c r="AP538" s="61">
        <f>+N538-'Приложение №2'!E538</f>
        <v>-1.2000002898275852E-3</v>
      </c>
      <c r="AR538" s="3">
        <f>+(K538*13.95+L538*23.65)*12*0.85</f>
        <v>593690.79599999986</v>
      </c>
      <c r="AS538" s="3">
        <f>+(K538*13.95+L538*23.65)*12*30</f>
        <v>20953792.799999997</v>
      </c>
      <c r="AT538" s="6">
        <f t="shared" si="159"/>
        <v>-20953792.799999997</v>
      </c>
      <c r="AU538" s="6" t="e">
        <v>#REF!</v>
      </c>
      <c r="AV538" s="6" t="e">
        <v>#REF!</v>
      </c>
      <c r="AW538" s="110">
        <f t="shared" si="149"/>
        <v>4271050</v>
      </c>
      <c r="AX538" s="55"/>
      <c r="AY538" s="55"/>
      <c r="AZ538" s="55"/>
      <c r="BA538" s="55"/>
      <c r="BB538" s="55"/>
      <c r="BC538" s="55"/>
      <c r="BD538" s="55"/>
      <c r="BE538" s="55">
        <v>4012463.5488</v>
      </c>
      <c r="BF538" s="55"/>
      <c r="BG538" s="55"/>
      <c r="BH538" s="55"/>
      <c r="BI538" s="55"/>
      <c r="BJ538" s="55">
        <v>128131.5</v>
      </c>
      <c r="BK538" s="63">
        <v>42710.5</v>
      </c>
      <c r="BL538" s="64">
        <v>87744.451199999996</v>
      </c>
      <c r="BM538" s="110">
        <f t="shared" si="150"/>
        <v>4271050</v>
      </c>
      <c r="BN538" s="55"/>
      <c r="BO538" s="55"/>
      <c r="BP538" s="55"/>
      <c r="BQ538" s="55"/>
      <c r="BR538" s="55"/>
      <c r="BS538" s="55"/>
      <c r="BT538" s="55"/>
      <c r="BU538" s="55">
        <v>4012463.5488</v>
      </c>
      <c r="BV538" s="55"/>
      <c r="BW538" s="55"/>
      <c r="BX538" s="55"/>
      <c r="BY538" s="55"/>
      <c r="BZ538" s="55">
        <v>128131.5</v>
      </c>
      <c r="CA538" s="63">
        <v>42710.5</v>
      </c>
      <c r="CB538" s="64">
        <v>87744.451199999996</v>
      </c>
      <c r="CD538" s="75"/>
      <c r="CE538" s="6"/>
    </row>
    <row r="539" spans="1:84" x14ac:dyDescent="0.25">
      <c r="A539" s="105">
        <f t="shared" si="151"/>
        <v>517</v>
      </c>
      <c r="B539" s="107">
        <f t="shared" si="157"/>
        <v>58</v>
      </c>
      <c r="C539" s="53" t="s">
        <v>75</v>
      </c>
      <c r="D539" s="53" t="s">
        <v>554</v>
      </c>
      <c r="E539" s="54">
        <v>1995</v>
      </c>
      <c r="F539" s="54">
        <v>1995</v>
      </c>
      <c r="G539" s="54" t="s">
        <v>64</v>
      </c>
      <c r="H539" s="54">
        <v>10</v>
      </c>
      <c r="I539" s="54">
        <v>1</v>
      </c>
      <c r="J539" s="55">
        <v>3279.6</v>
      </c>
      <c r="K539" s="55">
        <v>2806.4</v>
      </c>
      <c r="L539" s="55">
        <v>0</v>
      </c>
      <c r="M539" s="56">
        <v>105</v>
      </c>
      <c r="N539" s="112">
        <v>19703004.989999998</v>
      </c>
      <c r="O539" s="55"/>
      <c r="P539" s="62">
        <v>3772182.55</v>
      </c>
      <c r="Q539" s="63"/>
      <c r="R539" s="62">
        <v>1023686.05</v>
      </c>
      <c r="S539" s="62">
        <v>7481735.5199999996</v>
      </c>
      <c r="T539" s="62">
        <v>7425400.8700000001</v>
      </c>
      <c r="U539" s="55">
        <v>7020.7400896080999</v>
      </c>
      <c r="V539" s="55">
        <v>7020.7400896080999</v>
      </c>
      <c r="W539" s="59">
        <v>2024</v>
      </c>
      <c r="X539" s="6" t="e">
        <v>#REF!</v>
      </c>
      <c r="Z539" s="62">
        <f t="shared" ref="Z539:Z550" si="160">SUM(AA539:AO539)</f>
        <v>19818033.24747619</v>
      </c>
      <c r="AA539" s="55">
        <v>0</v>
      </c>
      <c r="AB539" s="55">
        <v>0</v>
      </c>
      <c r="AC539" s="55">
        <v>0</v>
      </c>
      <c r="AD539" s="55">
        <v>0</v>
      </c>
      <c r="AE539" s="55">
        <v>0</v>
      </c>
      <c r="AF539" s="55"/>
      <c r="AG539" s="55">
        <v>0</v>
      </c>
      <c r="AH539" s="55">
        <v>0</v>
      </c>
      <c r="AI539" s="55">
        <v>0</v>
      </c>
      <c r="AJ539" s="55">
        <v>0</v>
      </c>
      <c r="AK539" s="55">
        <v>19266518.528552201</v>
      </c>
      <c r="AL539" s="55">
        <v>0</v>
      </c>
      <c r="AM539" s="55">
        <v>106194.98</v>
      </c>
      <c r="AN539" s="55">
        <v>24000</v>
      </c>
      <c r="AO539" s="64">
        <v>421319.73892398999</v>
      </c>
      <c r="AP539" s="61">
        <f>+N539-'Приложение №2'!E539</f>
        <v>2.5238059461116791E-3</v>
      </c>
      <c r="AQ539" s="1">
        <f>1651544.69-504144.3-504144.3144</f>
        <v>643256.07559999987</v>
      </c>
      <c r="AR539" s="3">
        <f>+(K539*13.29+L539*22.52)*12*0.85</f>
        <v>380429.97119999997</v>
      </c>
      <c r="AS539" s="3">
        <f>+(K539*13.29+L539*22.52)*12*30-3285777.08-2659427.56</f>
        <v>7481735.5199999977</v>
      </c>
      <c r="AT539" s="6">
        <f t="shared" si="159"/>
        <v>0</v>
      </c>
      <c r="AU539" s="6" t="e">
        <v>#REF!</v>
      </c>
      <c r="AV539" s="6" t="e">
        <v>#REF!</v>
      </c>
      <c r="AW539" s="62">
        <f t="shared" si="149"/>
        <v>19703004.987476192</v>
      </c>
      <c r="AX539" s="55">
        <v>0</v>
      </c>
      <c r="AY539" s="55">
        <v>0</v>
      </c>
      <c r="AZ539" s="55">
        <v>0</v>
      </c>
      <c r="BA539" s="55">
        <v>0</v>
      </c>
      <c r="BB539" s="55">
        <v>0</v>
      </c>
      <c r="BC539" s="55"/>
      <c r="BD539" s="55"/>
      <c r="BE539" s="55">
        <v>0</v>
      </c>
      <c r="BF539" s="55">
        <v>0</v>
      </c>
      <c r="BG539" s="55">
        <v>0</v>
      </c>
      <c r="BH539" s="55">
        <v>19281360.680744201</v>
      </c>
      <c r="BI539" s="55">
        <v>0</v>
      </c>
      <c r="BJ539" s="55"/>
      <c r="BK539" s="55"/>
      <c r="BL539" s="64">
        <v>421644.30673199001</v>
      </c>
      <c r="BM539" s="62">
        <f t="shared" si="150"/>
        <v>19703004.987476192</v>
      </c>
      <c r="BN539" s="55">
        <v>0</v>
      </c>
      <c r="BO539" s="55">
        <v>0</v>
      </c>
      <c r="BP539" s="55">
        <v>0</v>
      </c>
      <c r="BQ539" s="55">
        <v>0</v>
      </c>
      <c r="BR539" s="55">
        <v>0</v>
      </c>
      <c r="BS539" s="55"/>
      <c r="BT539" s="55"/>
      <c r="BU539" s="55">
        <v>0</v>
      </c>
      <c r="BV539" s="55">
        <v>0</v>
      </c>
      <c r="BW539" s="55">
        <v>0</v>
      </c>
      <c r="BX539" s="55">
        <v>19281360.680744201</v>
      </c>
      <c r="BY539" s="55">
        <v>0</v>
      </c>
      <c r="BZ539" s="55"/>
      <c r="CA539" s="55"/>
      <c r="CB539" s="64">
        <v>421644.30673199001</v>
      </c>
      <c r="CD539" s="75"/>
      <c r="CE539" s="6"/>
    </row>
    <row r="540" spans="1:84" x14ac:dyDescent="0.25">
      <c r="A540" s="105">
        <f t="shared" si="151"/>
        <v>518</v>
      </c>
      <c r="B540" s="107">
        <f t="shared" si="157"/>
        <v>59</v>
      </c>
      <c r="C540" s="53" t="s">
        <v>75</v>
      </c>
      <c r="D540" s="53" t="s">
        <v>555</v>
      </c>
      <c r="E540" s="54">
        <v>1995</v>
      </c>
      <c r="F540" s="54">
        <v>2010</v>
      </c>
      <c r="G540" s="54" t="s">
        <v>64</v>
      </c>
      <c r="H540" s="54">
        <v>9</v>
      </c>
      <c r="I540" s="54">
        <v>1</v>
      </c>
      <c r="J540" s="55">
        <v>2996.5</v>
      </c>
      <c r="K540" s="55">
        <v>2550.1</v>
      </c>
      <c r="L540" s="55">
        <v>76.599999999999994</v>
      </c>
      <c r="M540" s="56">
        <v>83</v>
      </c>
      <c r="N540" s="112">
        <v>22212728.050000001</v>
      </c>
      <c r="O540" s="55"/>
      <c r="P540" s="62">
        <v>9628747.4100000001</v>
      </c>
      <c r="Q540" s="63"/>
      <c r="R540" s="62">
        <v>1149182.45</v>
      </c>
      <c r="S540" s="62">
        <v>11434798.189999999</v>
      </c>
      <c r="T540" s="63"/>
      <c r="U540" s="63">
        <v>2660.3964757901199</v>
      </c>
      <c r="V540" s="63">
        <v>1212.2830200640001</v>
      </c>
      <c r="W540" s="59">
        <v>2024</v>
      </c>
      <c r="X540" s="6" t="e">
        <v>#REF!</v>
      </c>
      <c r="Z540" s="62">
        <f t="shared" si="160"/>
        <v>13446173.905525669</v>
      </c>
      <c r="AA540" s="55">
        <v>6133316.7977849701</v>
      </c>
      <c r="AB540" s="55">
        <v>2453911.6795918699</v>
      </c>
      <c r="AC540" s="55">
        <v>1812454.0010526499</v>
      </c>
      <c r="AD540" s="55">
        <v>1158241.19706242</v>
      </c>
      <c r="AE540" s="55">
        <v>0</v>
      </c>
      <c r="AF540" s="55"/>
      <c r="AG540" s="55">
        <v>272494.70482550497</v>
      </c>
      <c r="AH540" s="55">
        <v>0</v>
      </c>
      <c r="AI540" s="55">
        <v>0</v>
      </c>
      <c r="AJ540" s="55">
        <v>0</v>
      </c>
      <c r="AK540" s="55">
        <v>0</v>
      </c>
      <c r="AL540" s="55">
        <v>0</v>
      </c>
      <c r="AM540" s="55">
        <v>1222586.4968225299</v>
      </c>
      <c r="AN540" s="63">
        <v>134461.739055257</v>
      </c>
      <c r="AO540" s="64">
        <v>258707.28933046499</v>
      </c>
      <c r="AP540" s="61">
        <f>+N540-'Приложение №2'!E540</f>
        <v>-1.4415010809898376E-3</v>
      </c>
      <c r="AQ540" s="6" t="e">
        <f>1796182.34-#REF!</f>
        <v>#REF!</v>
      </c>
      <c r="AR540" s="3">
        <f>+(K540*13.95+L540*23.65)*12*0.85</f>
        <v>381331.94699999993</v>
      </c>
      <c r="AS540" s="3" t="e">
        <f>+(K540*13.95+L540*23.65)*12*30-#REF!</f>
        <v>#REF!</v>
      </c>
      <c r="AT540" s="6" t="e">
        <f t="shared" si="159"/>
        <v>#REF!</v>
      </c>
      <c r="AU540" s="6" t="e">
        <v>#REF!</v>
      </c>
      <c r="AV540" s="6" t="e">
        <v>#REF!</v>
      </c>
      <c r="AW540" s="110">
        <f t="shared" si="149"/>
        <v>6784277.052912375</v>
      </c>
      <c r="AX540" s="55"/>
      <c r="AY540" s="55">
        <v>2994835.8043932598</v>
      </c>
      <c r="AZ540" s="55">
        <v>1812454.0010526499</v>
      </c>
      <c r="BA540" s="55">
        <v>1413556.25629638</v>
      </c>
      <c r="BB540" s="55">
        <v>0</v>
      </c>
      <c r="BC540" s="55"/>
      <c r="BD540" s="55"/>
      <c r="BE540" s="55">
        <v>0</v>
      </c>
      <c r="BF540" s="55">
        <v>0</v>
      </c>
      <c r="BG540" s="55">
        <v>0</v>
      </c>
      <c r="BH540" s="55"/>
      <c r="BI540" s="55">
        <v>0</v>
      </c>
      <c r="BJ540" s="55"/>
      <c r="BK540" s="63"/>
      <c r="BL540" s="64">
        <v>563430.99117008597</v>
      </c>
      <c r="BM540" s="110">
        <f t="shared" si="150"/>
        <v>6784277.052912375</v>
      </c>
      <c r="BN540" s="55"/>
      <c r="BO540" s="55">
        <v>2994835.8043932598</v>
      </c>
      <c r="BP540" s="55">
        <v>1812454.0010526499</v>
      </c>
      <c r="BQ540" s="55">
        <v>1413556.25629638</v>
      </c>
      <c r="BR540" s="55">
        <v>0</v>
      </c>
      <c r="BS540" s="55"/>
      <c r="BT540" s="55"/>
      <c r="BU540" s="55">
        <v>0</v>
      </c>
      <c r="BV540" s="55">
        <v>0</v>
      </c>
      <c r="BW540" s="55">
        <v>0</v>
      </c>
      <c r="BX540" s="55"/>
      <c r="BY540" s="55">
        <v>0</v>
      </c>
      <c r="BZ540" s="55"/>
      <c r="CA540" s="63"/>
      <c r="CB540" s="64">
        <v>563430.99117008597</v>
      </c>
      <c r="CD540" s="75"/>
      <c r="CE540" s="6"/>
      <c r="CF540" s="6"/>
    </row>
    <row r="541" spans="1:84" x14ac:dyDescent="0.25">
      <c r="A541" s="105">
        <f t="shared" si="151"/>
        <v>519</v>
      </c>
      <c r="B541" s="107">
        <f t="shared" si="157"/>
        <v>60</v>
      </c>
      <c r="C541" s="53" t="s">
        <v>75</v>
      </c>
      <c r="D541" s="53" t="s">
        <v>556</v>
      </c>
      <c r="E541" s="54">
        <v>1994</v>
      </c>
      <c r="F541" s="54">
        <v>1994</v>
      </c>
      <c r="G541" s="54" t="s">
        <v>64</v>
      </c>
      <c r="H541" s="54">
        <v>10</v>
      </c>
      <c r="I541" s="54">
        <v>1</v>
      </c>
      <c r="J541" s="55">
        <v>3166.2</v>
      </c>
      <c r="K541" s="55">
        <v>2444.1</v>
      </c>
      <c r="L541" s="55">
        <v>336.1</v>
      </c>
      <c r="M541" s="56">
        <v>81</v>
      </c>
      <c r="N541" s="112">
        <v>8457334.6600000001</v>
      </c>
      <c r="O541" s="55"/>
      <c r="P541" s="63"/>
      <c r="Q541" s="63"/>
      <c r="R541" s="62">
        <v>1286488.47</v>
      </c>
      <c r="S541" s="62">
        <v>7170846.1900000004</v>
      </c>
      <c r="T541" s="63"/>
      <c r="U541" s="63">
        <v>3460.3063121807099</v>
      </c>
      <c r="V541" s="63">
        <v>1213.2830200640001</v>
      </c>
      <c r="W541" s="59">
        <v>2024</v>
      </c>
      <c r="X541" s="6" t="e">
        <v>#REF!</v>
      </c>
      <c r="Z541" s="62">
        <f t="shared" si="160"/>
        <v>9992018.8381021693</v>
      </c>
      <c r="AA541" s="55">
        <v>6623579.5797926299</v>
      </c>
      <c r="AB541" s="55">
        <v>0</v>
      </c>
      <c r="AC541" s="55">
        <v>1957331.36025541</v>
      </c>
      <c r="AD541" s="55">
        <v>0</v>
      </c>
      <c r="AE541" s="55">
        <v>0</v>
      </c>
      <c r="AF541" s="55"/>
      <c r="AG541" s="55">
        <v>294276.39595196903</v>
      </c>
      <c r="AH541" s="55">
        <v>0</v>
      </c>
      <c r="AI541" s="55">
        <v>0</v>
      </c>
      <c r="AJ541" s="55">
        <v>0</v>
      </c>
      <c r="AK541" s="55">
        <v>0</v>
      </c>
      <c r="AL541" s="55">
        <v>0</v>
      </c>
      <c r="AM541" s="55">
        <v>822828.94197537901</v>
      </c>
      <c r="AN541" s="63">
        <v>99920.188381021595</v>
      </c>
      <c r="AO541" s="64">
        <v>194082.37174575901</v>
      </c>
      <c r="AP541" s="61">
        <f>+N541-'Приложение №2'!E541</f>
        <v>2.3991242051124573E-3</v>
      </c>
      <c r="AQ541" s="1">
        <f>2294994.9-363720.72-1073634.1</f>
        <v>857640.07999999984</v>
      </c>
      <c r="AR541" s="3">
        <f>+(K541*13.95+L541*23.65)*12*0.85</f>
        <v>428848.39199999999</v>
      </c>
      <c r="AS541" s="3">
        <f>+(K541*13.95+L541*23.65)*12*30-166487.48-2093121.55</f>
        <v>12876216.57</v>
      </c>
      <c r="AT541" s="6">
        <f t="shared" si="159"/>
        <v>-5705370.3799999999</v>
      </c>
      <c r="AU541" s="6" t="e">
        <v>#REF!</v>
      </c>
      <c r="AV541" s="6" t="e">
        <v>#REF!</v>
      </c>
      <c r="AW541" s="110">
        <f t="shared" si="149"/>
        <v>8457334.6576008759</v>
      </c>
      <c r="AX541" s="55">
        <v>7922733.5666669495</v>
      </c>
      <c r="AY541" s="55">
        <v>0</v>
      </c>
      <c r="AZ541" s="55">
        <v>0</v>
      </c>
      <c r="BA541" s="55">
        <v>0</v>
      </c>
      <c r="BB541" s="55">
        <v>0</v>
      </c>
      <c r="BC541" s="55"/>
      <c r="BD541" s="55">
        <v>353614.12926126702</v>
      </c>
      <c r="BE541" s="55">
        <v>0</v>
      </c>
      <c r="BF541" s="55">
        <v>0</v>
      </c>
      <c r="BG541" s="55">
        <v>0</v>
      </c>
      <c r="BH541" s="55">
        <v>0</v>
      </c>
      <c r="BI541" s="55">
        <v>0</v>
      </c>
      <c r="BJ541" s="55"/>
      <c r="BK541" s="63"/>
      <c r="BL541" s="64">
        <v>180986.961672659</v>
      </c>
      <c r="BM541" s="110">
        <f t="shared" si="150"/>
        <v>8457334.6576008759</v>
      </c>
      <c r="BN541" s="55">
        <v>7922733.5666669495</v>
      </c>
      <c r="BO541" s="55">
        <v>0</v>
      </c>
      <c r="BP541" s="55">
        <v>0</v>
      </c>
      <c r="BQ541" s="55">
        <v>0</v>
      </c>
      <c r="BR541" s="55">
        <v>0</v>
      </c>
      <c r="BS541" s="55"/>
      <c r="BT541" s="55">
        <v>353614.12926126702</v>
      </c>
      <c r="BU541" s="55">
        <v>0</v>
      </c>
      <c r="BV541" s="55">
        <v>0</v>
      </c>
      <c r="BW541" s="55">
        <v>0</v>
      </c>
      <c r="BX541" s="55">
        <v>0</v>
      </c>
      <c r="BY541" s="55">
        <v>0</v>
      </c>
      <c r="BZ541" s="55"/>
      <c r="CA541" s="63"/>
      <c r="CB541" s="64">
        <v>180986.961672659</v>
      </c>
      <c r="CD541" s="75"/>
      <c r="CE541" s="6"/>
    </row>
    <row r="542" spans="1:84" x14ac:dyDescent="0.25">
      <c r="A542" s="105">
        <f t="shared" si="151"/>
        <v>520</v>
      </c>
      <c r="B542" s="107">
        <f t="shared" si="157"/>
        <v>61</v>
      </c>
      <c r="C542" s="53" t="s">
        <v>75</v>
      </c>
      <c r="D542" s="53" t="s">
        <v>94</v>
      </c>
      <c r="E542" s="54">
        <v>1990</v>
      </c>
      <c r="F542" s="54">
        <v>1990</v>
      </c>
      <c r="G542" s="54" t="s">
        <v>64</v>
      </c>
      <c r="H542" s="54">
        <v>5</v>
      </c>
      <c r="I542" s="54">
        <v>8</v>
      </c>
      <c r="J542" s="55">
        <v>7467.3</v>
      </c>
      <c r="K542" s="55">
        <v>6603.4</v>
      </c>
      <c r="L542" s="55">
        <v>0</v>
      </c>
      <c r="M542" s="56">
        <v>290</v>
      </c>
      <c r="N542" s="112">
        <v>6634721.1900000004</v>
      </c>
      <c r="O542" s="55"/>
      <c r="P542" s="62">
        <v>1268562.68</v>
      </c>
      <c r="Q542" s="63"/>
      <c r="R542" s="62">
        <v>707224.14</v>
      </c>
      <c r="S542" s="62">
        <v>4658934.37</v>
      </c>
      <c r="T542" s="63"/>
      <c r="U542" s="63">
        <v>1004.74319164001</v>
      </c>
      <c r="V542" s="63">
        <v>1214.2830200640001</v>
      </c>
      <c r="W542" s="59">
        <v>2024</v>
      </c>
      <c r="X542" s="6" t="e">
        <v>#REF!</v>
      </c>
      <c r="Z542" s="62">
        <f t="shared" si="160"/>
        <v>55317447.938477129</v>
      </c>
      <c r="AA542" s="55">
        <v>0</v>
      </c>
      <c r="AB542" s="55">
        <v>0</v>
      </c>
      <c r="AC542" s="55">
        <v>5006928.9614249198</v>
      </c>
      <c r="AD542" s="55">
        <v>0</v>
      </c>
      <c r="AE542" s="55">
        <v>0</v>
      </c>
      <c r="AF542" s="55"/>
      <c r="AG542" s="55">
        <v>0</v>
      </c>
      <c r="AH542" s="55">
        <v>0</v>
      </c>
      <c r="AI542" s="55">
        <v>0</v>
      </c>
      <c r="AJ542" s="55">
        <v>0</v>
      </c>
      <c r="AK542" s="55">
        <v>43172023.5903835</v>
      </c>
      <c r="AL542" s="55">
        <v>0</v>
      </c>
      <c r="AM542" s="55">
        <v>5531744.7938477099</v>
      </c>
      <c r="AN542" s="63">
        <v>553174.47938477097</v>
      </c>
      <c r="AO542" s="64">
        <v>1053576.11343623</v>
      </c>
      <c r="AP542" s="61">
        <f>+N542-'Приложение №2'!E542</f>
        <v>-1.6756178811192513E-3</v>
      </c>
      <c r="AQ542" s="6">
        <f>3981912.4-R44</f>
        <v>214049.37000000011</v>
      </c>
      <c r="AR542" s="3">
        <f>+(K542*10.5+L542*21)*12*0.85</f>
        <v>707224.1399999999</v>
      </c>
      <c r="AS542" s="3">
        <f>+(K542*10.5+L542*21)*12*30-S44</f>
        <v>19687190.882955376</v>
      </c>
      <c r="AT542" s="6">
        <f t="shared" si="159"/>
        <v>-15028256.512955375</v>
      </c>
      <c r="AU542" s="6" t="e">
        <v>#REF!</v>
      </c>
      <c r="AV542" s="6" t="e">
        <v>#REF!</v>
      </c>
      <c r="AW542" s="110">
        <f t="shared" si="149"/>
        <v>6634721.1916756183</v>
      </c>
      <c r="AX542" s="55">
        <v>0</v>
      </c>
      <c r="AY542" s="55">
        <v>0</v>
      </c>
      <c r="AZ542" s="55">
        <v>6492738.1581737604</v>
      </c>
      <c r="BA542" s="55">
        <v>0</v>
      </c>
      <c r="BB542" s="55">
        <v>0</v>
      </c>
      <c r="BC542" s="55"/>
      <c r="BD542" s="55"/>
      <c r="BE542" s="55">
        <v>0</v>
      </c>
      <c r="BF542" s="55">
        <v>0</v>
      </c>
      <c r="BG542" s="55">
        <v>0</v>
      </c>
      <c r="BH542" s="55"/>
      <c r="BI542" s="55">
        <v>0</v>
      </c>
      <c r="BJ542" s="55"/>
      <c r="BK542" s="63"/>
      <c r="BL542" s="64">
        <v>141983.03350185801</v>
      </c>
      <c r="BM542" s="110">
        <f t="shared" si="150"/>
        <v>6634721.1916756183</v>
      </c>
      <c r="BN542" s="55">
        <v>0</v>
      </c>
      <c r="BO542" s="55">
        <v>0</v>
      </c>
      <c r="BP542" s="55">
        <v>6492738.1581737604</v>
      </c>
      <c r="BQ542" s="55">
        <v>0</v>
      </c>
      <c r="BR542" s="55">
        <v>0</v>
      </c>
      <c r="BS542" s="55"/>
      <c r="BT542" s="55"/>
      <c r="BU542" s="55">
        <v>0</v>
      </c>
      <c r="BV542" s="55">
        <v>0</v>
      </c>
      <c r="BW542" s="55">
        <v>0</v>
      </c>
      <c r="BX542" s="55"/>
      <c r="BY542" s="55">
        <v>0</v>
      </c>
      <c r="BZ542" s="55"/>
      <c r="CA542" s="63"/>
      <c r="CB542" s="64">
        <v>141983.03350185801</v>
      </c>
      <c r="CD542" s="75"/>
      <c r="CE542" s="6"/>
    </row>
    <row r="543" spans="1:84" x14ac:dyDescent="0.25">
      <c r="A543" s="105">
        <f t="shared" si="151"/>
        <v>521</v>
      </c>
      <c r="B543" s="107">
        <f t="shared" si="157"/>
        <v>62</v>
      </c>
      <c r="C543" s="53" t="s">
        <v>78</v>
      </c>
      <c r="D543" s="53" t="s">
        <v>557</v>
      </c>
      <c r="E543" s="54">
        <v>1994</v>
      </c>
      <c r="F543" s="54">
        <v>2005</v>
      </c>
      <c r="G543" s="54" t="s">
        <v>64</v>
      </c>
      <c r="H543" s="54">
        <v>10</v>
      </c>
      <c r="I543" s="54">
        <v>1</v>
      </c>
      <c r="J543" s="55">
        <v>3221.8</v>
      </c>
      <c r="K543" s="55">
        <v>2772.9</v>
      </c>
      <c r="L543" s="55">
        <v>0</v>
      </c>
      <c r="M543" s="56">
        <v>100</v>
      </c>
      <c r="N543" s="112">
        <v>3591360</v>
      </c>
      <c r="O543" s="55"/>
      <c r="P543" s="62">
        <v>1908022.49</v>
      </c>
      <c r="Q543" s="63"/>
      <c r="R543" s="62">
        <v>1683337.51</v>
      </c>
      <c r="S543" s="63"/>
      <c r="T543" s="63"/>
      <c r="U543" s="63">
        <v>1295.1639078221399</v>
      </c>
      <c r="V543" s="63">
        <v>1215.2830200640001</v>
      </c>
      <c r="W543" s="59">
        <v>2024</v>
      </c>
      <c r="X543" s="6" t="e">
        <v>#REF!</v>
      </c>
      <c r="Z543" s="62">
        <f t="shared" si="160"/>
        <v>12312273.314337615</v>
      </c>
      <c r="AA543" s="55">
        <v>6644426.5309337201</v>
      </c>
      <c r="AB543" s="55">
        <v>2658404.31955786</v>
      </c>
      <c r="AC543" s="55">
        <v>0</v>
      </c>
      <c r="AD543" s="55">
        <v>1254761.2968176201</v>
      </c>
      <c r="AE543" s="55">
        <v>0</v>
      </c>
      <c r="AF543" s="55"/>
      <c r="AG543" s="55">
        <v>295202.59689429699</v>
      </c>
      <c r="AH543" s="55">
        <v>0</v>
      </c>
      <c r="AI543" s="55">
        <v>0</v>
      </c>
      <c r="AJ543" s="55">
        <v>0</v>
      </c>
      <c r="AK543" s="55">
        <v>0</v>
      </c>
      <c r="AL543" s="55">
        <v>0</v>
      </c>
      <c r="AM543" s="55">
        <v>1099027.19655956</v>
      </c>
      <c r="AN543" s="63">
        <v>123122.733143376</v>
      </c>
      <c r="AO543" s="64">
        <v>237328.64043118199</v>
      </c>
      <c r="AP543" s="61">
        <f>+N543-'Приложение №2'!E543</f>
        <v>0</v>
      </c>
      <c r="AR543" s="3">
        <f>+(K543*13.95+L543*23.65)*12*0.85</f>
        <v>394555.94099999999</v>
      </c>
      <c r="AT543" s="6">
        <f t="shared" si="159"/>
        <v>0</v>
      </c>
      <c r="AU543" s="6" t="e">
        <v>#REF!</v>
      </c>
      <c r="AV543" s="6" t="e">
        <v>#REF!</v>
      </c>
      <c r="AW543" s="110">
        <f t="shared" si="149"/>
        <v>3591360.0000000023</v>
      </c>
      <c r="AX543" s="55"/>
      <c r="AY543" s="55"/>
      <c r="AZ543" s="55"/>
      <c r="BA543" s="55"/>
      <c r="BB543" s="55"/>
      <c r="BC543" s="55"/>
      <c r="BD543" s="55"/>
      <c r="BE543" s="55">
        <v>3388344.6460698801</v>
      </c>
      <c r="BF543" s="55"/>
      <c r="BG543" s="55"/>
      <c r="BH543" s="55"/>
      <c r="BI543" s="55"/>
      <c r="BJ543" s="55">
        <v>104919.11907840001</v>
      </c>
      <c r="BK543" s="63">
        <v>24000</v>
      </c>
      <c r="BL543" s="64">
        <v>74096.234851722198</v>
      </c>
      <c r="BM543" s="110">
        <f t="shared" si="150"/>
        <v>3591360.0000000023</v>
      </c>
      <c r="BN543" s="55"/>
      <c r="BO543" s="55"/>
      <c r="BP543" s="55"/>
      <c r="BQ543" s="55"/>
      <c r="BR543" s="55"/>
      <c r="BS543" s="55"/>
      <c r="BT543" s="55"/>
      <c r="BU543" s="55">
        <v>3388344.6460698801</v>
      </c>
      <c r="BV543" s="55"/>
      <c r="BW543" s="55"/>
      <c r="BX543" s="55"/>
      <c r="BY543" s="55"/>
      <c r="BZ543" s="55">
        <v>104919.11907840001</v>
      </c>
      <c r="CA543" s="63">
        <v>24000</v>
      </c>
      <c r="CB543" s="64">
        <v>74096.234851722198</v>
      </c>
      <c r="CD543" s="75"/>
      <c r="CE543" s="6"/>
    </row>
    <row r="544" spans="1:84" x14ac:dyDescent="0.25">
      <c r="A544" s="105">
        <f t="shared" si="151"/>
        <v>522</v>
      </c>
      <c r="B544" s="107">
        <f t="shared" si="157"/>
        <v>63</v>
      </c>
      <c r="C544" s="53" t="s">
        <v>75</v>
      </c>
      <c r="D544" s="53" t="s">
        <v>558</v>
      </c>
      <c r="E544" s="54">
        <v>1996</v>
      </c>
      <c r="F544" s="54">
        <v>1996</v>
      </c>
      <c r="G544" s="54" t="s">
        <v>64</v>
      </c>
      <c r="H544" s="54">
        <v>3</v>
      </c>
      <c r="I544" s="54">
        <v>3</v>
      </c>
      <c r="J544" s="55">
        <v>2048.3000000000002</v>
      </c>
      <c r="K544" s="55">
        <v>1683.6</v>
      </c>
      <c r="L544" s="55">
        <v>86.8</v>
      </c>
      <c r="M544" s="56">
        <v>51</v>
      </c>
      <c r="N544" s="112">
        <v>13076420.52</v>
      </c>
      <c r="O544" s="55"/>
      <c r="P544" s="62">
        <v>1188980.4099999999</v>
      </c>
      <c r="Q544" s="63"/>
      <c r="R544" s="62">
        <v>1249817.31</v>
      </c>
      <c r="S544" s="62">
        <v>7020216</v>
      </c>
      <c r="T544" s="62">
        <v>3617406.8</v>
      </c>
      <c r="U544" s="63">
        <v>7766.9402010906397</v>
      </c>
      <c r="V544" s="63">
        <v>1219.2830200640001</v>
      </c>
      <c r="W544" s="59">
        <v>2024</v>
      </c>
      <c r="X544" s="6" t="e">
        <v>#REF!</v>
      </c>
      <c r="Z544" s="62">
        <f t="shared" si="160"/>
        <v>33805835.96630428</v>
      </c>
      <c r="AA544" s="55">
        <v>6700361.0893385699</v>
      </c>
      <c r="AB544" s="55">
        <v>3490874.7316903402</v>
      </c>
      <c r="AC544" s="55">
        <v>1444478.3866878301</v>
      </c>
      <c r="AD544" s="55">
        <v>0</v>
      </c>
      <c r="AE544" s="55">
        <v>0</v>
      </c>
      <c r="AF544" s="55"/>
      <c r="AG544" s="55">
        <v>547643.04082610202</v>
      </c>
      <c r="AH544" s="55">
        <v>0</v>
      </c>
      <c r="AI544" s="55">
        <v>0</v>
      </c>
      <c r="AJ544" s="55">
        <v>0</v>
      </c>
      <c r="AK544" s="55">
        <v>17457525.241583198</v>
      </c>
      <c r="AL544" s="55">
        <v>0</v>
      </c>
      <c r="AM544" s="55">
        <v>3178709.0493900198</v>
      </c>
      <c r="AN544" s="63">
        <v>338058.35966304201</v>
      </c>
      <c r="AO544" s="64">
        <v>648186.06712517503</v>
      </c>
      <c r="AP544" s="61">
        <f>+N544-'Приложение №2'!E544</f>
        <v>-2.55621038377285E-3</v>
      </c>
      <c r="AQ544" s="65">
        <v>1050911.19</v>
      </c>
      <c r="AR544" s="3">
        <f>+(K544*10.5+L544*21)*12*0.85</f>
        <v>198906.11999999997</v>
      </c>
      <c r="AS544" s="3">
        <f>+(K544*10.5+L544*21)*12*30</f>
        <v>7020215.9999999991</v>
      </c>
      <c r="AT544" s="6">
        <f t="shared" si="159"/>
        <v>0</v>
      </c>
      <c r="AU544" s="6" t="e">
        <v>#REF!</v>
      </c>
      <c r="AV544" s="6" t="e">
        <v>#REF!</v>
      </c>
      <c r="AW544" s="110">
        <f t="shared" si="149"/>
        <v>13076420.52255621</v>
      </c>
      <c r="AX544" s="55">
        <v>7984235.7978000101</v>
      </c>
      <c r="AY544" s="55">
        <v>4159770.8879819401</v>
      </c>
      <c r="AZ544" s="55">
        <v>0</v>
      </c>
      <c r="BA544" s="55">
        <v>0</v>
      </c>
      <c r="BB544" s="55">
        <v>0</v>
      </c>
      <c r="BC544" s="55"/>
      <c r="BD544" s="55">
        <v>652578.43759155599</v>
      </c>
      <c r="BE544" s="55">
        <v>0</v>
      </c>
      <c r="BF544" s="55"/>
      <c r="BG544" s="55"/>
      <c r="BH544" s="55"/>
      <c r="BI544" s="55">
        <v>0</v>
      </c>
      <c r="BJ544" s="55"/>
      <c r="BK544" s="63"/>
      <c r="BL544" s="64">
        <v>279835.399182703</v>
      </c>
      <c r="BM544" s="110">
        <f t="shared" si="150"/>
        <v>13076420.52255621</v>
      </c>
      <c r="BN544" s="55">
        <v>7984235.7978000101</v>
      </c>
      <c r="BO544" s="55">
        <v>4159770.8879819401</v>
      </c>
      <c r="BP544" s="55">
        <v>0</v>
      </c>
      <c r="BQ544" s="55">
        <v>0</v>
      </c>
      <c r="BR544" s="55">
        <v>0</v>
      </c>
      <c r="BS544" s="55"/>
      <c r="BT544" s="55">
        <v>652578.43759155599</v>
      </c>
      <c r="BU544" s="55">
        <v>0</v>
      </c>
      <c r="BV544" s="55"/>
      <c r="BW544" s="55"/>
      <c r="BX544" s="55"/>
      <c r="BY544" s="55">
        <v>0</v>
      </c>
      <c r="BZ544" s="55"/>
      <c r="CA544" s="63"/>
      <c r="CB544" s="64">
        <v>279835.399182703</v>
      </c>
      <c r="CD544" s="75"/>
      <c r="CE544" s="6"/>
    </row>
    <row r="545" spans="1:83" x14ac:dyDescent="0.25">
      <c r="A545" s="105">
        <f t="shared" si="151"/>
        <v>523</v>
      </c>
      <c r="B545" s="107">
        <f t="shared" si="157"/>
        <v>64</v>
      </c>
      <c r="C545" s="53" t="s">
        <v>75</v>
      </c>
      <c r="D545" s="53" t="s">
        <v>559</v>
      </c>
      <c r="E545" s="54">
        <v>1986</v>
      </c>
      <c r="F545" s="54">
        <v>2016</v>
      </c>
      <c r="G545" s="54" t="s">
        <v>64</v>
      </c>
      <c r="H545" s="54">
        <v>5</v>
      </c>
      <c r="I545" s="54">
        <v>4</v>
      </c>
      <c r="J545" s="55">
        <v>3396.9</v>
      </c>
      <c r="K545" s="55">
        <v>3059.2</v>
      </c>
      <c r="L545" s="55">
        <v>0</v>
      </c>
      <c r="M545" s="56">
        <v>122</v>
      </c>
      <c r="N545" s="112">
        <v>17930144.010000002</v>
      </c>
      <c r="O545" s="55"/>
      <c r="P545" s="63"/>
      <c r="Q545" s="63"/>
      <c r="R545" s="62">
        <v>2179656.3199999998</v>
      </c>
      <c r="S545" s="62">
        <v>11563776</v>
      </c>
      <c r="T545" s="62">
        <v>4186711.69</v>
      </c>
      <c r="U545" s="63">
        <v>5861.0564893168903</v>
      </c>
      <c r="V545" s="63">
        <v>1220.2830200640001</v>
      </c>
      <c r="W545" s="59">
        <v>2024</v>
      </c>
      <c r="X545" s="6" t="e">
        <v>#REF!</v>
      </c>
      <c r="Z545" s="62">
        <f t="shared" si="160"/>
        <v>12428415.84886137</v>
      </c>
      <c r="AA545" s="55">
        <v>6061746.8582748296</v>
      </c>
      <c r="AB545" s="55">
        <v>2605155.66</v>
      </c>
      <c r="AC545" s="55">
        <v>2187734.91</v>
      </c>
      <c r="AD545" s="55">
        <v>0</v>
      </c>
      <c r="AE545" s="55">
        <v>0</v>
      </c>
      <c r="AF545" s="55"/>
      <c r="AG545" s="55">
        <v>251675.454108787</v>
      </c>
      <c r="AH545" s="55">
        <v>0</v>
      </c>
      <c r="AI545" s="55">
        <v>0</v>
      </c>
      <c r="AJ545" s="55">
        <v>0</v>
      </c>
      <c r="AK545" s="55">
        <v>0</v>
      </c>
      <c r="AL545" s="55">
        <v>0</v>
      </c>
      <c r="AM545" s="55">
        <v>1074948.6007849399</v>
      </c>
      <c r="AN545" s="63">
        <v>77360.2219424137</v>
      </c>
      <c r="AO545" s="64">
        <v>169794.14375039999</v>
      </c>
      <c r="AP545" s="61">
        <f>+N545-'Приложение №2'!E545</f>
        <v>-2.1181777119636536E-3</v>
      </c>
      <c r="AQ545" s="65">
        <v>1852016</v>
      </c>
      <c r="AR545" s="3">
        <f>+(K545*10.5+L545*21)*12*0.85</f>
        <v>327640.31999999995</v>
      </c>
      <c r="AS545" s="3">
        <f>+(K545*10.5+L545*21)*12*30</f>
        <v>11563775.999999998</v>
      </c>
      <c r="AT545" s="6">
        <f t="shared" si="159"/>
        <v>0</v>
      </c>
      <c r="AU545" s="6" t="e">
        <v>#REF!</v>
      </c>
      <c r="AV545" s="6" t="e">
        <v>#REF!</v>
      </c>
      <c r="AW545" s="110">
        <f t="shared" si="149"/>
        <v>17930144.012118179</v>
      </c>
      <c r="AX545" s="55">
        <v>10224281.589162899</v>
      </c>
      <c r="AY545" s="55">
        <v>4925359.9319616798</v>
      </c>
      <c r="AZ545" s="55">
        <v>2187734.91</v>
      </c>
      <c r="BA545" s="55">
        <v>0</v>
      </c>
      <c r="BB545" s="55">
        <v>0</v>
      </c>
      <c r="BC545" s="55"/>
      <c r="BD545" s="55">
        <v>330229.41716311901</v>
      </c>
      <c r="BE545" s="55">
        <v>0</v>
      </c>
      <c r="BF545" s="55">
        <v>0</v>
      </c>
      <c r="BG545" s="55">
        <v>0</v>
      </c>
      <c r="BH545" s="55">
        <v>0</v>
      </c>
      <c r="BI545" s="55">
        <v>0</v>
      </c>
      <c r="BJ545" s="55"/>
      <c r="BK545" s="63"/>
      <c r="BL545" s="64">
        <v>262538.16383048199</v>
      </c>
      <c r="BM545" s="110">
        <f t="shared" si="150"/>
        <v>17930144.012118179</v>
      </c>
      <c r="BN545" s="55">
        <v>10224281.589162899</v>
      </c>
      <c r="BO545" s="55">
        <v>4925359.9319616798</v>
      </c>
      <c r="BP545" s="55">
        <v>2187734.91</v>
      </c>
      <c r="BQ545" s="55">
        <v>0</v>
      </c>
      <c r="BR545" s="55">
        <v>0</v>
      </c>
      <c r="BS545" s="55"/>
      <c r="BT545" s="55">
        <v>330229.41716311901</v>
      </c>
      <c r="BU545" s="55">
        <v>0</v>
      </c>
      <c r="BV545" s="55">
        <v>0</v>
      </c>
      <c r="BW545" s="55">
        <v>0</v>
      </c>
      <c r="BX545" s="55">
        <v>0</v>
      </c>
      <c r="BY545" s="55">
        <v>0</v>
      </c>
      <c r="BZ545" s="55"/>
      <c r="CA545" s="63"/>
      <c r="CB545" s="64">
        <v>262538.16383048199</v>
      </c>
      <c r="CD545" s="75"/>
      <c r="CE545" s="6"/>
    </row>
    <row r="546" spans="1:83" x14ac:dyDescent="0.25">
      <c r="A546" s="105">
        <f t="shared" si="151"/>
        <v>524</v>
      </c>
      <c r="B546" s="107">
        <f t="shared" ref="B546:B577" si="161">+B545+1</f>
        <v>65</v>
      </c>
      <c r="C546" s="53" t="s">
        <v>75</v>
      </c>
      <c r="D546" s="53" t="s">
        <v>560</v>
      </c>
      <c r="E546" s="54">
        <v>1985</v>
      </c>
      <c r="F546" s="54">
        <v>2009</v>
      </c>
      <c r="G546" s="54" t="s">
        <v>64</v>
      </c>
      <c r="H546" s="54">
        <v>5</v>
      </c>
      <c r="I546" s="54">
        <v>4</v>
      </c>
      <c r="J546" s="55">
        <v>5739.1</v>
      </c>
      <c r="K546" s="55">
        <v>4751.1000000000004</v>
      </c>
      <c r="L546" s="55">
        <v>96</v>
      </c>
      <c r="M546" s="56">
        <v>191</v>
      </c>
      <c r="N546" s="112">
        <v>4870090.72</v>
      </c>
      <c r="O546" s="55"/>
      <c r="P546" s="63"/>
      <c r="Q546" s="63"/>
      <c r="R546" s="62">
        <v>2669241.48</v>
      </c>
      <c r="S546" s="62">
        <v>2200849.2400000002</v>
      </c>
      <c r="T546" s="63"/>
      <c r="U546" s="63">
        <v>1025.04487891189</v>
      </c>
      <c r="V546" s="63">
        <v>1216.2830200640001</v>
      </c>
      <c r="W546" s="59">
        <v>2024</v>
      </c>
      <c r="X546" s="6" t="e">
        <v>#REF!</v>
      </c>
      <c r="Z546" s="62">
        <f t="shared" si="160"/>
        <v>4184215.5831091194</v>
      </c>
      <c r="AA546" s="55">
        <v>0</v>
      </c>
      <c r="AB546" s="55">
        <v>0</v>
      </c>
      <c r="AC546" s="55">
        <v>3644259.2989712199</v>
      </c>
      <c r="AD546" s="55">
        <v>0</v>
      </c>
      <c r="AE546" s="55">
        <v>0</v>
      </c>
      <c r="AF546" s="55"/>
      <c r="AG546" s="55">
        <v>0</v>
      </c>
      <c r="AH546" s="55">
        <v>0</v>
      </c>
      <c r="AI546" s="55">
        <v>0</v>
      </c>
      <c r="AJ546" s="55">
        <v>0</v>
      </c>
      <c r="AK546" s="55">
        <v>0</v>
      </c>
      <c r="AL546" s="55">
        <v>0</v>
      </c>
      <c r="AM546" s="55">
        <v>418421.55831091199</v>
      </c>
      <c r="AN546" s="63">
        <v>41842.155831091201</v>
      </c>
      <c r="AO546" s="64">
        <v>79692.569995896294</v>
      </c>
      <c r="AP546" s="61">
        <f>+N546-'Приложение №2'!E546</f>
        <v>-4.1982727125287056E-3</v>
      </c>
      <c r="AQ546" s="1">
        <f>2850620.51-710785.04</f>
        <v>2139835.4699999997</v>
      </c>
      <c r="AR546" s="3">
        <f>+(K546*10.5+L546*21)*12*0.85</f>
        <v>529406.01</v>
      </c>
      <c r="AS546" s="3">
        <f>+(K546*10.5+L546*21)*12*30-979982.96</f>
        <v>17704935.040000003</v>
      </c>
      <c r="AT546" s="6">
        <f t="shared" si="159"/>
        <v>-15504085.800000003</v>
      </c>
      <c r="AU546" s="6" t="e">
        <v>#REF!</v>
      </c>
      <c r="AV546" s="6" t="e">
        <v>#REF!</v>
      </c>
      <c r="AW546" s="110">
        <f t="shared" ref="AW546:AW609" si="162">SUBTOTAL(9, AX546:BL546)</f>
        <v>4870090.7241982725</v>
      </c>
      <c r="AX546" s="55">
        <v>0</v>
      </c>
      <c r="AY546" s="55">
        <v>0</v>
      </c>
      <c r="AZ546" s="55">
        <v>4765870.7827004297</v>
      </c>
      <c r="BA546" s="55">
        <v>0</v>
      </c>
      <c r="BB546" s="55">
        <v>0</v>
      </c>
      <c r="BC546" s="55"/>
      <c r="BD546" s="55"/>
      <c r="BE546" s="55">
        <v>0</v>
      </c>
      <c r="BF546" s="55">
        <v>0</v>
      </c>
      <c r="BG546" s="55">
        <v>0</v>
      </c>
      <c r="BH546" s="55">
        <v>0</v>
      </c>
      <c r="BI546" s="55">
        <v>0</v>
      </c>
      <c r="BJ546" s="55"/>
      <c r="BK546" s="63"/>
      <c r="BL546" s="64">
        <v>104219.941497843</v>
      </c>
      <c r="BM546" s="110">
        <f t="shared" ref="BM546:BM609" si="163">SUBTOTAL(9, BN546:CB546)</f>
        <v>4870090.7241982725</v>
      </c>
      <c r="BN546" s="55">
        <v>0</v>
      </c>
      <c r="BO546" s="55">
        <v>0</v>
      </c>
      <c r="BP546" s="55">
        <v>4765870.7827004297</v>
      </c>
      <c r="BQ546" s="55">
        <v>0</v>
      </c>
      <c r="BR546" s="55">
        <v>0</v>
      </c>
      <c r="BS546" s="55"/>
      <c r="BT546" s="55"/>
      <c r="BU546" s="55">
        <v>0</v>
      </c>
      <c r="BV546" s="55">
        <v>0</v>
      </c>
      <c r="BW546" s="55">
        <v>0</v>
      </c>
      <c r="BX546" s="55">
        <v>0</v>
      </c>
      <c r="BY546" s="55">
        <v>0</v>
      </c>
      <c r="BZ546" s="55"/>
      <c r="CA546" s="63"/>
      <c r="CB546" s="64">
        <v>104219.941497843</v>
      </c>
      <c r="CD546" s="75"/>
      <c r="CE546" s="6"/>
    </row>
    <row r="547" spans="1:83" x14ac:dyDescent="0.25">
      <c r="A547" s="105">
        <f t="shared" ref="A547:A610" si="164">+A546+1</f>
        <v>525</v>
      </c>
      <c r="B547" s="107">
        <f t="shared" si="161"/>
        <v>66</v>
      </c>
      <c r="C547" s="53" t="s">
        <v>75</v>
      </c>
      <c r="D547" s="53" t="s">
        <v>561</v>
      </c>
      <c r="E547" s="54">
        <v>1986</v>
      </c>
      <c r="F547" s="54">
        <v>2016</v>
      </c>
      <c r="G547" s="54" t="s">
        <v>64</v>
      </c>
      <c r="H547" s="54">
        <v>5</v>
      </c>
      <c r="I547" s="54">
        <v>3</v>
      </c>
      <c r="J547" s="55">
        <v>4418.7</v>
      </c>
      <c r="K547" s="55">
        <v>3551.6</v>
      </c>
      <c r="L547" s="55">
        <v>167.4</v>
      </c>
      <c r="M547" s="56">
        <v>164</v>
      </c>
      <c r="N547" s="112">
        <v>7639006.5099999998</v>
      </c>
      <c r="O547" s="55"/>
      <c r="P547" s="63"/>
      <c r="Q547" s="63"/>
      <c r="R547" s="62">
        <v>2552454.02</v>
      </c>
      <c r="S547" s="62">
        <v>5086552.49</v>
      </c>
      <c r="T547" s="63"/>
      <c r="U547" s="63">
        <v>2150.8634162223798</v>
      </c>
      <c r="V547" s="63">
        <v>1217.2830200640001</v>
      </c>
      <c r="W547" s="59">
        <v>2024</v>
      </c>
      <c r="X547" s="6" t="e">
        <v>#REF!</v>
      </c>
      <c r="Z547" s="62">
        <f t="shared" si="160"/>
        <v>6409594.9059999958</v>
      </c>
      <c r="AA547" s="55">
        <v>0</v>
      </c>
      <c r="AB547" s="55">
        <v>0</v>
      </c>
      <c r="AC547" s="55">
        <v>0</v>
      </c>
      <c r="AD547" s="55">
        <v>0</v>
      </c>
      <c r="AE547" s="55">
        <v>0</v>
      </c>
      <c r="AF547" s="55"/>
      <c r="AG547" s="55">
        <v>0</v>
      </c>
      <c r="AH547" s="55">
        <v>0</v>
      </c>
      <c r="AI547" s="55">
        <v>0</v>
      </c>
      <c r="AJ547" s="55">
        <v>5582462.3217603201</v>
      </c>
      <c r="AK547" s="55">
        <v>0</v>
      </c>
      <c r="AL547" s="55">
        <v>0</v>
      </c>
      <c r="AM547" s="55">
        <v>640959.49060000002</v>
      </c>
      <c r="AN547" s="63">
        <v>64095.949059999999</v>
      </c>
      <c r="AO547" s="64">
        <v>122077.14457967599</v>
      </c>
      <c r="AP547" s="61">
        <f>+N547-'Приложение №2'!E547</f>
        <v>9.4460416585206985E-4</v>
      </c>
      <c r="AQ547" s="1">
        <v>2136220.58</v>
      </c>
      <c r="AR547" s="3">
        <f>+(K547*10.5+L547*21)*12*0.85</f>
        <v>416233.43999999994</v>
      </c>
      <c r="AS547" s="3">
        <f>+(K547*10.5+L547*21)*12*30</f>
        <v>14690591.999999998</v>
      </c>
      <c r="AT547" s="6">
        <f t="shared" si="159"/>
        <v>-9604039.5099999979</v>
      </c>
      <c r="AU547" s="6" t="e">
        <v>#REF!</v>
      </c>
      <c r="AV547" s="6" t="e">
        <v>#REF!</v>
      </c>
      <c r="AW547" s="110">
        <f t="shared" si="162"/>
        <v>7639006.5090553956</v>
      </c>
      <c r="AX547" s="55">
        <v>0</v>
      </c>
      <c r="AY547" s="55">
        <v>0</v>
      </c>
      <c r="AZ547" s="55">
        <v>0</v>
      </c>
      <c r="BA547" s="55">
        <v>0</v>
      </c>
      <c r="BB547" s="55">
        <v>0</v>
      </c>
      <c r="BC547" s="55"/>
      <c r="BD547" s="55"/>
      <c r="BE547" s="55">
        <v>0</v>
      </c>
      <c r="BF547" s="55">
        <v>0</v>
      </c>
      <c r="BG547" s="55">
        <v>7475531.7697616098</v>
      </c>
      <c r="BH547" s="55">
        <v>0</v>
      </c>
      <c r="BI547" s="55">
        <v>0</v>
      </c>
      <c r="BJ547" s="55"/>
      <c r="BK547" s="63"/>
      <c r="BL547" s="64">
        <v>163474.739293786</v>
      </c>
      <c r="BM547" s="110">
        <f t="shared" si="163"/>
        <v>7639006.5090553956</v>
      </c>
      <c r="BN547" s="55">
        <v>0</v>
      </c>
      <c r="BO547" s="55">
        <v>0</v>
      </c>
      <c r="BP547" s="55">
        <v>0</v>
      </c>
      <c r="BQ547" s="55">
        <v>0</v>
      </c>
      <c r="BR547" s="55">
        <v>0</v>
      </c>
      <c r="BS547" s="55"/>
      <c r="BT547" s="55"/>
      <c r="BU547" s="55">
        <v>0</v>
      </c>
      <c r="BV547" s="55">
        <v>0</v>
      </c>
      <c r="BW547" s="55">
        <v>7475531.7697616098</v>
      </c>
      <c r="BX547" s="55">
        <v>0</v>
      </c>
      <c r="BY547" s="55">
        <v>0</v>
      </c>
      <c r="BZ547" s="55"/>
      <c r="CA547" s="63"/>
      <c r="CB547" s="64">
        <v>163474.739293786</v>
      </c>
      <c r="CD547" s="75"/>
      <c r="CE547" s="6"/>
    </row>
    <row r="548" spans="1:83" x14ac:dyDescent="0.25">
      <c r="A548" s="105">
        <f t="shared" si="164"/>
        <v>526</v>
      </c>
      <c r="B548" s="107">
        <f t="shared" si="161"/>
        <v>67</v>
      </c>
      <c r="C548" s="53" t="s">
        <v>75</v>
      </c>
      <c r="D548" s="53" t="s">
        <v>562</v>
      </c>
      <c r="E548" s="54">
        <v>1985</v>
      </c>
      <c r="F548" s="54">
        <v>2015</v>
      </c>
      <c r="G548" s="54" t="s">
        <v>64</v>
      </c>
      <c r="H548" s="54">
        <v>5</v>
      </c>
      <c r="I548" s="54">
        <v>3</v>
      </c>
      <c r="J548" s="55">
        <v>6741.3</v>
      </c>
      <c r="K548" s="55">
        <v>3901.9</v>
      </c>
      <c r="L548" s="55">
        <v>698.1</v>
      </c>
      <c r="M548" s="56">
        <v>305</v>
      </c>
      <c r="N548" s="112">
        <v>9448623.2699999996</v>
      </c>
      <c r="O548" s="55"/>
      <c r="P548" s="63"/>
      <c r="Q548" s="63"/>
      <c r="R548" s="62">
        <v>2678224.9700000002</v>
      </c>
      <c r="S548" s="62">
        <v>6770398.2999999998</v>
      </c>
      <c r="T548" s="63">
        <v>0</v>
      </c>
      <c r="U548" s="63">
        <v>2421.5441887647398</v>
      </c>
      <c r="V548" s="63">
        <v>1218.2830200640001</v>
      </c>
      <c r="W548" s="59">
        <v>2024</v>
      </c>
      <c r="X548" s="6" t="e">
        <v>#REF!</v>
      </c>
      <c r="Z548" s="62">
        <f t="shared" si="160"/>
        <v>8492822.8320000023</v>
      </c>
      <c r="AA548" s="55">
        <v>0</v>
      </c>
      <c r="AB548" s="55">
        <v>0</v>
      </c>
      <c r="AC548" s="55">
        <v>0</v>
      </c>
      <c r="AD548" s="55">
        <v>0</v>
      </c>
      <c r="AE548" s="55">
        <v>0</v>
      </c>
      <c r="AF548" s="55"/>
      <c r="AG548" s="55">
        <v>0</v>
      </c>
      <c r="AH548" s="55">
        <v>0</v>
      </c>
      <c r="AI548" s="55">
        <v>0</v>
      </c>
      <c r="AJ548" s="55">
        <v>7396858.01682173</v>
      </c>
      <c r="AK548" s="55">
        <v>0</v>
      </c>
      <c r="AL548" s="55">
        <v>0</v>
      </c>
      <c r="AM548" s="55">
        <v>849282.28319999995</v>
      </c>
      <c r="AN548" s="63">
        <v>84928.228319999995</v>
      </c>
      <c r="AO548" s="64">
        <v>161754.30365827199</v>
      </c>
      <c r="AP548" s="61">
        <f>+N548-'Приложение №2'!E548</f>
        <v>-1.4112144708633423E-4</v>
      </c>
      <c r="AQ548" s="1">
        <f>2863169.63-752371.17</f>
        <v>2110798.46</v>
      </c>
      <c r="AR548" s="3">
        <f>+(K548*10.5+L548*21)*12*0.85</f>
        <v>567426.51</v>
      </c>
      <c r="AS548" s="3">
        <f>+(K548*10.5+L548*21)*12*30-895524.57</f>
        <v>19131293.430000003</v>
      </c>
      <c r="AT548" s="6">
        <f t="shared" si="159"/>
        <v>-12360895.130000003</v>
      </c>
      <c r="AU548" s="6" t="e">
        <v>#REF!</v>
      </c>
      <c r="AV548" s="6" t="e">
        <v>#REF!</v>
      </c>
      <c r="AW548" s="110">
        <f t="shared" si="162"/>
        <v>9448623.270141121</v>
      </c>
      <c r="AX548" s="55">
        <v>0</v>
      </c>
      <c r="AY548" s="55">
        <v>0</v>
      </c>
      <c r="AZ548" s="55">
        <v>0</v>
      </c>
      <c r="BA548" s="55">
        <v>0</v>
      </c>
      <c r="BB548" s="55">
        <v>0</v>
      </c>
      <c r="BC548" s="55"/>
      <c r="BD548" s="55"/>
      <c r="BE548" s="55">
        <v>0</v>
      </c>
      <c r="BF548" s="55">
        <v>0</v>
      </c>
      <c r="BG548" s="55">
        <v>9246422.7321601007</v>
      </c>
      <c r="BH548" s="55">
        <v>0</v>
      </c>
      <c r="BI548" s="55">
        <v>0</v>
      </c>
      <c r="BJ548" s="55"/>
      <c r="BK548" s="63"/>
      <c r="BL548" s="64">
        <v>202200.53798102</v>
      </c>
      <c r="BM548" s="110">
        <f t="shared" si="163"/>
        <v>9448623.270141121</v>
      </c>
      <c r="BN548" s="55">
        <v>0</v>
      </c>
      <c r="BO548" s="55">
        <v>0</v>
      </c>
      <c r="BP548" s="55">
        <v>0</v>
      </c>
      <c r="BQ548" s="55">
        <v>0</v>
      </c>
      <c r="BR548" s="55">
        <v>0</v>
      </c>
      <c r="BS548" s="55"/>
      <c r="BT548" s="55"/>
      <c r="BU548" s="55">
        <v>0</v>
      </c>
      <c r="BV548" s="55">
        <v>0</v>
      </c>
      <c r="BW548" s="55">
        <v>9246422.7321601007</v>
      </c>
      <c r="BX548" s="55">
        <v>0</v>
      </c>
      <c r="BY548" s="55">
        <v>0</v>
      </c>
      <c r="BZ548" s="55"/>
      <c r="CA548" s="63"/>
      <c r="CB548" s="64">
        <v>202200.53798102</v>
      </c>
      <c r="CD548" s="75"/>
      <c r="CE548" s="6"/>
    </row>
    <row r="549" spans="1:83" x14ac:dyDescent="0.25">
      <c r="A549" s="105">
        <f t="shared" si="164"/>
        <v>527</v>
      </c>
      <c r="B549" s="107">
        <f t="shared" si="161"/>
        <v>68</v>
      </c>
      <c r="C549" s="53" t="s">
        <v>75</v>
      </c>
      <c r="D549" s="53" t="s">
        <v>563</v>
      </c>
      <c r="E549" s="54">
        <v>1995</v>
      </c>
      <c r="F549" s="54">
        <v>2002</v>
      </c>
      <c r="G549" s="54" t="s">
        <v>64</v>
      </c>
      <c r="H549" s="54">
        <v>10</v>
      </c>
      <c r="I549" s="54">
        <v>1</v>
      </c>
      <c r="J549" s="55">
        <v>3274.9</v>
      </c>
      <c r="K549" s="55">
        <v>3274.9</v>
      </c>
      <c r="L549" s="55">
        <v>0</v>
      </c>
      <c r="M549" s="56">
        <v>107</v>
      </c>
      <c r="N549" s="112">
        <v>8653558.6500000004</v>
      </c>
      <c r="O549" s="55"/>
      <c r="P549" s="63"/>
      <c r="Q549" s="63"/>
      <c r="R549" s="62">
        <v>1883122.06</v>
      </c>
      <c r="S549" s="62">
        <v>6770436.5899999999</v>
      </c>
      <c r="T549" s="63"/>
      <c r="U549" s="55">
        <v>2458.6706249324002</v>
      </c>
      <c r="V549" s="55">
        <v>2458.6706249324002</v>
      </c>
      <c r="W549" s="59">
        <v>2024</v>
      </c>
      <c r="X549" s="6" t="e">
        <v>#REF!</v>
      </c>
      <c r="Z549" s="62">
        <f t="shared" si="160"/>
        <v>13763058.555082267</v>
      </c>
      <c r="AA549" s="55">
        <v>6414391.2079975698</v>
      </c>
      <c r="AB549" s="55">
        <v>0</v>
      </c>
      <c r="AC549" s="55">
        <v>0</v>
      </c>
      <c r="AD549" s="55">
        <v>1211320.4642977</v>
      </c>
      <c r="AE549" s="55">
        <v>0</v>
      </c>
      <c r="AF549" s="55"/>
      <c r="AG549" s="55">
        <v>0</v>
      </c>
      <c r="AH549" s="55">
        <v>0</v>
      </c>
      <c r="AI549" s="55">
        <v>0</v>
      </c>
      <c r="AJ549" s="55">
        <v>4459999.4943992104</v>
      </c>
      <c r="AK549" s="55">
        <v>0</v>
      </c>
      <c r="AL549" s="55">
        <v>0</v>
      </c>
      <c r="AM549" s="55">
        <v>1275426.77732372</v>
      </c>
      <c r="AN549" s="63">
        <v>137630.58555082299</v>
      </c>
      <c r="AO549" s="64">
        <v>264290.02551324503</v>
      </c>
      <c r="AP549" s="61">
        <f>+N549-'Приложение №2'!E549</f>
        <v>4.6050269156694412E-3</v>
      </c>
      <c r="AQ549" s="1">
        <f>2154157.37-126729.3148-588244.8956</f>
        <v>1439183.1595999999</v>
      </c>
      <c r="AR549" s="3">
        <f>+(K549*13.29+L549*22.52)*12*0.85</f>
        <v>443938.89419999992</v>
      </c>
      <c r="AS549" s="3">
        <f>+(K549*13.29+L549*22.52)*12*30-1139379.7452-2540032.37</f>
        <v>11989019.444799997</v>
      </c>
      <c r="AT549" s="6">
        <f t="shared" si="159"/>
        <v>-5218582.8547999971</v>
      </c>
      <c r="AU549" s="6" t="e">
        <v>#REF!</v>
      </c>
      <c r="AV549" s="6" t="e">
        <v>#REF!</v>
      </c>
      <c r="AW549" s="62">
        <f t="shared" si="162"/>
        <v>8051900.429591123</v>
      </c>
      <c r="AX549" s="55">
        <v>6588114.6970215803</v>
      </c>
      <c r="AY549" s="55">
        <v>0</v>
      </c>
      <c r="AZ549" s="55">
        <v>0</v>
      </c>
      <c r="BA549" s="55">
        <v>1196031.0741961501</v>
      </c>
      <c r="BB549" s="55">
        <v>0</v>
      </c>
      <c r="BC549" s="55"/>
      <c r="BD549" s="55"/>
      <c r="BE549" s="55">
        <v>0</v>
      </c>
      <c r="BF549" s="55">
        <v>0</v>
      </c>
      <c r="BG549" s="55"/>
      <c r="BH549" s="55">
        <v>0</v>
      </c>
      <c r="BI549" s="55">
        <v>0</v>
      </c>
      <c r="BJ549" s="55"/>
      <c r="BK549" s="63"/>
      <c r="BL549" s="64">
        <v>267754.658373393</v>
      </c>
      <c r="BM549" s="62">
        <f t="shared" si="163"/>
        <v>8051900.429591123</v>
      </c>
      <c r="BN549" s="55">
        <v>6588114.6970215803</v>
      </c>
      <c r="BO549" s="55">
        <v>0</v>
      </c>
      <c r="BP549" s="55">
        <v>0</v>
      </c>
      <c r="BQ549" s="55">
        <v>1196031.0741961501</v>
      </c>
      <c r="BR549" s="55">
        <v>0</v>
      </c>
      <c r="BS549" s="55"/>
      <c r="BT549" s="55"/>
      <c r="BU549" s="55">
        <v>0</v>
      </c>
      <c r="BV549" s="55">
        <v>0</v>
      </c>
      <c r="BW549" s="55"/>
      <c r="BX549" s="55">
        <v>0</v>
      </c>
      <c r="BY549" s="55">
        <v>0</v>
      </c>
      <c r="BZ549" s="55"/>
      <c r="CA549" s="63"/>
      <c r="CB549" s="64">
        <v>267754.658373393</v>
      </c>
      <c r="CD549" s="75"/>
      <c r="CE549" s="6"/>
    </row>
    <row r="550" spans="1:83" x14ac:dyDescent="0.25">
      <c r="A550" s="105">
        <f t="shared" si="164"/>
        <v>528</v>
      </c>
      <c r="B550" s="107">
        <f t="shared" si="161"/>
        <v>69</v>
      </c>
      <c r="C550" s="53" t="s">
        <v>75</v>
      </c>
      <c r="D550" s="53" t="s">
        <v>103</v>
      </c>
      <c r="E550" s="54">
        <v>1983</v>
      </c>
      <c r="F550" s="54">
        <v>2008</v>
      </c>
      <c r="G550" s="54" t="s">
        <v>64</v>
      </c>
      <c r="H550" s="54">
        <v>5</v>
      </c>
      <c r="I550" s="54">
        <v>3</v>
      </c>
      <c r="J550" s="55">
        <v>5132.1000000000004</v>
      </c>
      <c r="K550" s="55">
        <v>4364.6000000000004</v>
      </c>
      <c r="L550" s="55">
        <v>0</v>
      </c>
      <c r="M550" s="56">
        <v>197</v>
      </c>
      <c r="N550" s="112">
        <v>3347402.02</v>
      </c>
      <c r="O550" s="55"/>
      <c r="P550" s="62">
        <v>822035.25</v>
      </c>
      <c r="Q550" s="63"/>
      <c r="R550" s="63"/>
      <c r="S550" s="62">
        <v>2525366.77</v>
      </c>
      <c r="T550" s="63"/>
      <c r="U550" s="63">
        <v>766.94359684402502</v>
      </c>
      <c r="V550" s="63">
        <v>1222.2830200640001</v>
      </c>
      <c r="W550" s="59">
        <v>2024</v>
      </c>
      <c r="X550" s="6" t="e">
        <v>#REF!</v>
      </c>
      <c r="Z550" s="62">
        <f t="shared" si="160"/>
        <v>38187844.389634877</v>
      </c>
      <c r="AA550" s="55">
        <v>8573356.2018279508</v>
      </c>
      <c r="AB550" s="55">
        <v>3669586.3729378101</v>
      </c>
      <c r="AC550" s="55">
        <v>3275767.61949783</v>
      </c>
      <c r="AD550" s="55">
        <v>3459882.7712624599</v>
      </c>
      <c r="AE550" s="55">
        <v>0</v>
      </c>
      <c r="AF550" s="55"/>
      <c r="AG550" s="55">
        <v>355954.04522476502</v>
      </c>
      <c r="AH550" s="55">
        <v>0</v>
      </c>
      <c r="AI550" s="55">
        <v>14183322.7702034</v>
      </c>
      <c r="AJ550" s="55">
        <v>0</v>
      </c>
      <c r="AK550" s="55">
        <v>0</v>
      </c>
      <c r="AL550" s="55">
        <v>0</v>
      </c>
      <c r="AM550" s="55">
        <v>3555128.2378351898</v>
      </c>
      <c r="AN550" s="63">
        <v>381878.443896349</v>
      </c>
      <c r="AO550" s="64">
        <v>732967.92694913095</v>
      </c>
      <c r="AP550" s="61">
        <f>+N550-'Приложение №2'!E550</f>
        <v>-2.7854382060468197E-3</v>
      </c>
      <c r="AQ550" s="6">
        <f>2036649.87-R50</f>
        <v>-445189.19999999972</v>
      </c>
      <c r="AR550" s="3">
        <f>+(K550*10+L550*20)*12*0.85</f>
        <v>445189.2</v>
      </c>
      <c r="AS550" s="3">
        <f>+(K550*10+L550*20)*12*30-S50</f>
        <v>7049848.4281460308</v>
      </c>
      <c r="AT550" s="6">
        <f t="shared" si="159"/>
        <v>-4524481.6581460312</v>
      </c>
      <c r="AU550" s="6" t="e">
        <v>#REF!</v>
      </c>
      <c r="AV550" s="6" t="e">
        <v>#REF!</v>
      </c>
      <c r="AW550" s="62">
        <f t="shared" si="162"/>
        <v>3347402.0227854382</v>
      </c>
      <c r="AX550" s="55"/>
      <c r="AY550" s="55"/>
      <c r="AZ550" s="55">
        <v>3275767.61949783</v>
      </c>
      <c r="BA550" s="55"/>
      <c r="BB550" s="55"/>
      <c r="BC550" s="55"/>
      <c r="BD550" s="55"/>
      <c r="BE550" s="55"/>
      <c r="BF550" s="55"/>
      <c r="BG550" s="55">
        <v>0</v>
      </c>
      <c r="BH550" s="55">
        <v>0</v>
      </c>
      <c r="BI550" s="55">
        <v>0</v>
      </c>
      <c r="BJ550" s="55"/>
      <c r="BK550" s="63"/>
      <c r="BL550" s="64">
        <v>71634.403287608293</v>
      </c>
      <c r="BM550" s="62">
        <f t="shared" si="163"/>
        <v>3347402.0227854382</v>
      </c>
      <c r="BN550" s="55"/>
      <c r="BO550" s="55"/>
      <c r="BP550" s="55">
        <v>3275767.61949783</v>
      </c>
      <c r="BQ550" s="55"/>
      <c r="BR550" s="55"/>
      <c r="BS550" s="55"/>
      <c r="BT550" s="55"/>
      <c r="BU550" s="55"/>
      <c r="BV550" s="55"/>
      <c r="BW550" s="55">
        <v>0</v>
      </c>
      <c r="BX550" s="55">
        <v>0</v>
      </c>
      <c r="BY550" s="55">
        <v>0</v>
      </c>
      <c r="BZ550" s="55"/>
      <c r="CA550" s="63"/>
      <c r="CB550" s="64">
        <v>71634.403287608293</v>
      </c>
      <c r="CD550" s="75"/>
      <c r="CE550" s="6"/>
    </row>
    <row r="551" spans="1:83" x14ac:dyDescent="0.25">
      <c r="A551" s="105">
        <f t="shared" si="164"/>
        <v>529</v>
      </c>
      <c r="B551" s="107">
        <f t="shared" si="161"/>
        <v>70</v>
      </c>
      <c r="C551" s="53" t="s">
        <v>78</v>
      </c>
      <c r="D551" s="53" t="s">
        <v>564</v>
      </c>
      <c r="E551" s="54" t="s">
        <v>429</v>
      </c>
      <c r="F551" s="54"/>
      <c r="G551" s="54" t="s">
        <v>64</v>
      </c>
      <c r="H551" s="54" t="s">
        <v>123</v>
      </c>
      <c r="I551" s="54" t="s">
        <v>184</v>
      </c>
      <c r="J551" s="55">
        <v>11653.5</v>
      </c>
      <c r="K551" s="55">
        <v>8349.17</v>
      </c>
      <c r="L551" s="55">
        <v>926.4</v>
      </c>
      <c r="M551" s="56">
        <v>357</v>
      </c>
      <c r="N551" s="112">
        <v>14365440</v>
      </c>
      <c r="O551" s="55"/>
      <c r="P551" s="62">
        <v>6919946.5199999996</v>
      </c>
      <c r="Q551" s="63"/>
      <c r="R551" s="62">
        <v>7445493.4800000004</v>
      </c>
      <c r="S551" s="63"/>
      <c r="T551" s="63"/>
      <c r="U551" s="63">
        <v>1720.5830040590899</v>
      </c>
      <c r="V551" s="63">
        <v>1221.2830200640001</v>
      </c>
      <c r="W551" s="59">
        <v>2024</v>
      </c>
      <c r="X551" s="6"/>
      <c r="Z551" s="62"/>
      <c r="AA551" s="55"/>
      <c r="AB551" s="55"/>
      <c r="AC551" s="55"/>
      <c r="AD551" s="55"/>
      <c r="AE551" s="55"/>
      <c r="AF551" s="55"/>
      <c r="AG551" s="55"/>
      <c r="AH551" s="55"/>
      <c r="AI551" s="55"/>
      <c r="AJ551" s="55"/>
      <c r="AK551" s="55"/>
      <c r="AL551" s="55"/>
      <c r="AM551" s="55"/>
      <c r="AN551" s="63"/>
      <c r="AO551" s="64"/>
      <c r="AP551" s="61">
        <f>+N551-'Приложение №2'!E551</f>
        <v>0</v>
      </c>
      <c r="AT551" s="6">
        <f t="shared" si="159"/>
        <v>0</v>
      </c>
      <c r="AU551" s="6"/>
      <c r="AV551" s="6"/>
      <c r="AW551" s="110">
        <f t="shared" si="162"/>
        <v>14365440</v>
      </c>
      <c r="AX551" s="55"/>
      <c r="AY551" s="55"/>
      <c r="AZ551" s="55"/>
      <c r="BA551" s="55"/>
      <c r="BB551" s="55"/>
      <c r="BC551" s="55"/>
      <c r="BD551" s="55"/>
      <c r="BE551" s="55">
        <v>13495698.80064</v>
      </c>
      <c r="BF551" s="55"/>
      <c r="BG551" s="55"/>
      <c r="BH551" s="55"/>
      <c r="BI551" s="55"/>
      <c r="BJ551" s="55">
        <v>430963.20000000001</v>
      </c>
      <c r="BK551" s="63">
        <v>143654.39999999999</v>
      </c>
      <c r="BL551" s="64">
        <v>295123.59935999999</v>
      </c>
      <c r="BM551" s="110">
        <f t="shared" si="163"/>
        <v>14365440</v>
      </c>
      <c r="BN551" s="55"/>
      <c r="BO551" s="55"/>
      <c r="BP551" s="55"/>
      <c r="BQ551" s="55"/>
      <c r="BR551" s="55"/>
      <c r="BS551" s="55"/>
      <c r="BT551" s="55"/>
      <c r="BU551" s="55">
        <v>13495698.80064</v>
      </c>
      <c r="BV551" s="55"/>
      <c r="BW551" s="55"/>
      <c r="BX551" s="55"/>
      <c r="BY551" s="55"/>
      <c r="BZ551" s="55">
        <v>430963.20000000001</v>
      </c>
      <c r="CA551" s="63">
        <v>143654.39999999999</v>
      </c>
      <c r="CB551" s="64">
        <v>295123.59935999999</v>
      </c>
      <c r="CD551" s="75"/>
      <c r="CE551" s="6"/>
    </row>
    <row r="552" spans="1:83" x14ac:dyDescent="0.25">
      <c r="A552" s="105">
        <f t="shared" si="164"/>
        <v>530</v>
      </c>
      <c r="B552" s="107">
        <f t="shared" si="161"/>
        <v>71</v>
      </c>
      <c r="C552" s="53" t="s">
        <v>75</v>
      </c>
      <c r="D552" s="53" t="s">
        <v>565</v>
      </c>
      <c r="E552" s="54">
        <v>1985</v>
      </c>
      <c r="F552" s="54">
        <v>2008</v>
      </c>
      <c r="G552" s="54" t="s">
        <v>64</v>
      </c>
      <c r="H552" s="54">
        <v>5</v>
      </c>
      <c r="I552" s="54">
        <v>5</v>
      </c>
      <c r="J552" s="55">
        <v>7124.7</v>
      </c>
      <c r="K552" s="55">
        <v>5794.3</v>
      </c>
      <c r="L552" s="55">
        <v>252.5</v>
      </c>
      <c r="M552" s="56">
        <v>248</v>
      </c>
      <c r="N552" s="112">
        <v>5076500.6399999997</v>
      </c>
      <c r="O552" s="55"/>
      <c r="P552" s="63"/>
      <c r="Q552" s="63"/>
      <c r="R552" s="62">
        <v>1074489.94</v>
      </c>
      <c r="S552" s="62">
        <v>4002010.7</v>
      </c>
      <c r="T552" s="63"/>
      <c r="U552" s="63">
        <v>876.11974484954601</v>
      </c>
      <c r="V552" s="63">
        <v>1223.2830200640001</v>
      </c>
      <c r="W552" s="59">
        <v>2024</v>
      </c>
      <c r="X552" s="6" t="e">
        <v>#REF!</v>
      </c>
      <c r="Z552" s="62">
        <f t="shared" ref="Z552:Z574" si="165">SUM(AA552:AO552)</f>
        <v>30311487.044534616</v>
      </c>
      <c r="AA552" s="55">
        <v>11767409.9303276</v>
      </c>
      <c r="AB552" s="55">
        <v>5036712.1239983402</v>
      </c>
      <c r="AC552" s="55">
        <v>4496173.9029232701</v>
      </c>
      <c r="AD552" s="55">
        <v>4748882.2255678996</v>
      </c>
      <c r="AE552" s="55">
        <v>0</v>
      </c>
      <c r="AF552" s="55"/>
      <c r="AG552" s="55">
        <v>488566.79553628003</v>
      </c>
      <c r="AH552" s="55">
        <v>0</v>
      </c>
      <c r="AI552" s="55">
        <v>0</v>
      </c>
      <c r="AJ552" s="55">
        <v>0</v>
      </c>
      <c r="AK552" s="55">
        <v>0</v>
      </c>
      <c r="AL552" s="55">
        <v>0</v>
      </c>
      <c r="AM552" s="55">
        <v>2890300.4610774298</v>
      </c>
      <c r="AN552" s="63">
        <v>303114.87044534599</v>
      </c>
      <c r="AO552" s="64">
        <v>580326.73465845303</v>
      </c>
      <c r="AP552" s="61">
        <f>+N552-'Приложение №2'!E552</f>
        <v>2.4182768538594246E-3</v>
      </c>
      <c r="AQ552" s="1">
        <v>2944437.56</v>
      </c>
      <c r="AR552" s="3">
        <f>+(K552*10+L552*20)*12*0.85</f>
        <v>642528.6</v>
      </c>
      <c r="AS552" s="3">
        <f>+(K552*10+L552*20)*12*30-11358024</f>
        <v>11319456</v>
      </c>
      <c r="AT552" s="6">
        <f t="shared" si="159"/>
        <v>-7317445.2999999998</v>
      </c>
      <c r="AU552" s="6" t="e">
        <v>#REF!</v>
      </c>
      <c r="AV552" s="6" t="e">
        <v>#REF!</v>
      </c>
      <c r="AW552" s="62">
        <f t="shared" si="162"/>
        <v>5076500.6375817228</v>
      </c>
      <c r="AX552" s="55"/>
      <c r="AY552" s="55"/>
      <c r="AZ552" s="55">
        <v>4496173.9029232701</v>
      </c>
      <c r="BA552" s="55"/>
      <c r="BB552" s="55">
        <v>0</v>
      </c>
      <c r="BC552" s="55"/>
      <c r="BD552" s="55"/>
      <c r="BE552" s="55">
        <v>0</v>
      </c>
      <c r="BF552" s="55">
        <v>0</v>
      </c>
      <c r="BG552" s="55"/>
      <c r="BH552" s="55">
        <v>0</v>
      </c>
      <c r="BI552" s="55">
        <v>0</v>
      </c>
      <c r="BJ552" s="55"/>
      <c r="BK552" s="63"/>
      <c r="BL552" s="64">
        <v>580326.73465845303</v>
      </c>
      <c r="BM552" s="62">
        <f t="shared" si="163"/>
        <v>5076500.6375817228</v>
      </c>
      <c r="BN552" s="55"/>
      <c r="BO552" s="55"/>
      <c r="BP552" s="55">
        <v>4496173.9029232701</v>
      </c>
      <c r="BQ552" s="55"/>
      <c r="BR552" s="55">
        <v>0</v>
      </c>
      <c r="BS552" s="55"/>
      <c r="BT552" s="55"/>
      <c r="BU552" s="55">
        <v>0</v>
      </c>
      <c r="BV552" s="55">
        <v>0</v>
      </c>
      <c r="BW552" s="55"/>
      <c r="BX552" s="55">
        <v>0</v>
      </c>
      <c r="BY552" s="55">
        <v>0</v>
      </c>
      <c r="BZ552" s="55"/>
      <c r="CA552" s="63"/>
      <c r="CB552" s="64">
        <v>580326.73465845303</v>
      </c>
      <c r="CD552" s="75"/>
      <c r="CE552" s="6"/>
    </row>
    <row r="553" spans="1:83" x14ac:dyDescent="0.25">
      <c r="A553" s="105">
        <f t="shared" si="164"/>
        <v>531</v>
      </c>
      <c r="B553" s="107">
        <f t="shared" si="161"/>
        <v>72</v>
      </c>
      <c r="C553" s="53" t="s">
        <v>75</v>
      </c>
      <c r="D553" s="53" t="s">
        <v>566</v>
      </c>
      <c r="E553" s="54">
        <v>1980</v>
      </c>
      <c r="F553" s="54">
        <v>2012</v>
      </c>
      <c r="G553" s="54" t="s">
        <v>64</v>
      </c>
      <c r="H553" s="54">
        <v>4</v>
      </c>
      <c r="I553" s="54">
        <v>3</v>
      </c>
      <c r="J553" s="55">
        <v>5123.6000000000004</v>
      </c>
      <c r="K553" s="55">
        <v>3336.1</v>
      </c>
      <c r="L553" s="55">
        <v>937.6</v>
      </c>
      <c r="M553" s="56">
        <v>153</v>
      </c>
      <c r="N553" s="112">
        <v>9608202.1500000004</v>
      </c>
      <c r="O553" s="55"/>
      <c r="P553" s="63"/>
      <c r="Q553" s="63"/>
      <c r="R553" s="62">
        <v>2863173.66</v>
      </c>
      <c r="S553" s="62">
        <v>6514974.5</v>
      </c>
      <c r="T553" s="62">
        <v>230053.99</v>
      </c>
      <c r="U553" s="63">
        <v>2880.0701856252499</v>
      </c>
      <c r="V553" s="63">
        <v>1221.2830200640001</v>
      </c>
      <c r="W553" s="59">
        <v>2024</v>
      </c>
      <c r="X553" s="6" t="e">
        <v>#REF!</v>
      </c>
      <c r="Z553" s="62">
        <f t="shared" si="165"/>
        <v>9768437.6600000001</v>
      </c>
      <c r="AA553" s="55">
        <v>0</v>
      </c>
      <c r="AB553" s="55">
        <v>0</v>
      </c>
      <c r="AC553" s="55">
        <v>0</v>
      </c>
      <c r="AD553" s="55">
        <v>0</v>
      </c>
      <c r="AE553" s="55">
        <v>0</v>
      </c>
      <c r="AF553" s="55"/>
      <c r="AG553" s="55">
        <v>0</v>
      </c>
      <c r="AH553" s="55">
        <v>0</v>
      </c>
      <c r="AI553" s="55">
        <v>0</v>
      </c>
      <c r="AJ553" s="55">
        <v>0</v>
      </c>
      <c r="AK553" s="55">
        <v>9403121.0399999991</v>
      </c>
      <c r="AL553" s="55">
        <v>0</v>
      </c>
      <c r="AM553" s="55">
        <v>264024.74</v>
      </c>
      <c r="AN553" s="63">
        <v>20000</v>
      </c>
      <c r="AO553" s="64">
        <v>81291.88</v>
      </c>
      <c r="AP553" s="61">
        <f>+N553-'Приложение №2'!E553</f>
        <v>3.7356093525886536E-3</v>
      </c>
      <c r="AQ553" s="65">
        <v>2890969.25</v>
      </c>
      <c r="AR553" s="3">
        <f>+(K553*10.5+L553*21)*12*0.85</f>
        <v>558130.23</v>
      </c>
      <c r="AS553" s="3">
        <f>+(K553*10.5+L553*21)*12*30</f>
        <v>19698713.999999996</v>
      </c>
      <c r="AT553" s="6">
        <f t="shared" ref="AT553:AT584" si="166">+S553-AS553</f>
        <v>-13183739.499999996</v>
      </c>
      <c r="AU553" s="6" t="e">
        <v>#REF!</v>
      </c>
      <c r="AV553" s="6" t="e">
        <v>#REF!</v>
      </c>
      <c r="AW553" s="110">
        <f t="shared" si="162"/>
        <v>9608202.146264391</v>
      </c>
      <c r="AX553" s="55">
        <v>0</v>
      </c>
      <c r="AY553" s="55">
        <v>0</v>
      </c>
      <c r="AZ553" s="55">
        <v>0</v>
      </c>
      <c r="BA553" s="55">
        <v>0</v>
      </c>
      <c r="BB553" s="55">
        <v>0</v>
      </c>
      <c r="BC553" s="55"/>
      <c r="BD553" s="55"/>
      <c r="BE553" s="55">
        <v>0</v>
      </c>
      <c r="BF553" s="55">
        <v>0</v>
      </c>
      <c r="BG553" s="55">
        <v>0</v>
      </c>
      <c r="BH553" s="55">
        <v>9403121.0399999991</v>
      </c>
      <c r="BI553" s="55">
        <v>0</v>
      </c>
      <c r="BJ553" s="55"/>
      <c r="BK553" s="63"/>
      <c r="BL553" s="64">
        <v>205081.106264392</v>
      </c>
      <c r="BM553" s="110">
        <f t="shared" si="163"/>
        <v>9608202.146264391</v>
      </c>
      <c r="BN553" s="55">
        <v>0</v>
      </c>
      <c r="BO553" s="55">
        <v>0</v>
      </c>
      <c r="BP553" s="55">
        <v>0</v>
      </c>
      <c r="BQ553" s="55">
        <v>0</v>
      </c>
      <c r="BR553" s="55">
        <v>0</v>
      </c>
      <c r="BS553" s="55"/>
      <c r="BT553" s="55"/>
      <c r="BU553" s="55">
        <v>0</v>
      </c>
      <c r="BV553" s="55">
        <v>0</v>
      </c>
      <c r="BW553" s="55">
        <v>0</v>
      </c>
      <c r="BX553" s="55">
        <v>9403121.0399999991</v>
      </c>
      <c r="BY553" s="55">
        <v>0</v>
      </c>
      <c r="BZ553" s="55"/>
      <c r="CA553" s="63"/>
      <c r="CB553" s="64">
        <v>205081.106264392</v>
      </c>
      <c r="CD553" s="75"/>
      <c r="CE553" s="6"/>
    </row>
    <row r="554" spans="1:83" x14ac:dyDescent="0.25">
      <c r="A554" s="105">
        <f t="shared" si="164"/>
        <v>532</v>
      </c>
      <c r="B554" s="107">
        <f t="shared" si="161"/>
        <v>73</v>
      </c>
      <c r="C554" s="53" t="s">
        <v>75</v>
      </c>
      <c r="D554" s="53" t="s">
        <v>567</v>
      </c>
      <c r="E554" s="54">
        <v>1986</v>
      </c>
      <c r="F554" s="54">
        <v>2016</v>
      </c>
      <c r="G554" s="54" t="s">
        <v>64</v>
      </c>
      <c r="H554" s="54">
        <v>5</v>
      </c>
      <c r="I554" s="54">
        <v>4</v>
      </c>
      <c r="J554" s="55">
        <v>5735.9</v>
      </c>
      <c r="K554" s="55">
        <v>4570.5</v>
      </c>
      <c r="L554" s="55">
        <v>392.5</v>
      </c>
      <c r="M554" s="56">
        <v>186</v>
      </c>
      <c r="N554" s="112">
        <v>3803072.31</v>
      </c>
      <c r="O554" s="55"/>
      <c r="P554" s="63"/>
      <c r="Q554" s="63"/>
      <c r="R554" s="62">
        <v>2232501.41</v>
      </c>
      <c r="S554" s="62">
        <v>1570570.9</v>
      </c>
      <c r="T554" s="63"/>
      <c r="U554" s="63">
        <v>819.62128971393599</v>
      </c>
      <c r="V554" s="63">
        <v>1224.2830200640001</v>
      </c>
      <c r="W554" s="59">
        <v>2024</v>
      </c>
      <c r="X554" s="6" t="e">
        <v>#REF!</v>
      </c>
      <c r="Z554" s="62">
        <f t="shared" si="165"/>
        <v>4209077.645660161</v>
      </c>
      <c r="AA554" s="55">
        <v>0</v>
      </c>
      <c r="AB554" s="55">
        <v>0</v>
      </c>
      <c r="AC554" s="55">
        <v>3665913.0117982998</v>
      </c>
      <c r="AD554" s="55">
        <v>0</v>
      </c>
      <c r="AE554" s="55">
        <v>0</v>
      </c>
      <c r="AF554" s="55"/>
      <c r="AG554" s="55">
        <v>0</v>
      </c>
      <c r="AH554" s="55">
        <v>0</v>
      </c>
      <c r="AI554" s="55">
        <v>0</v>
      </c>
      <c r="AJ554" s="55">
        <v>0</v>
      </c>
      <c r="AK554" s="55">
        <v>0</v>
      </c>
      <c r="AL554" s="55">
        <v>0</v>
      </c>
      <c r="AM554" s="55">
        <v>420907.76456601598</v>
      </c>
      <c r="AN554" s="63">
        <v>42090.776456601598</v>
      </c>
      <c r="AO554" s="64">
        <v>80166.0928392434</v>
      </c>
      <c r="AP554" s="61">
        <f>+N554-'Приложение №2'!E554</f>
        <v>-2.8392435051500797E-3</v>
      </c>
      <c r="AQ554" s="1">
        <f>2433536.43-747296.02</f>
        <v>1686240.4100000001</v>
      </c>
      <c r="AR554" s="3">
        <f>+(K554*10+L554*20)*12*0.85</f>
        <v>546261</v>
      </c>
      <c r="AS554" s="3">
        <f>+(K554*10+L554*20)*12*30-4108823.88</f>
        <v>15170976.120000001</v>
      </c>
      <c r="AT554" s="6">
        <f t="shared" si="166"/>
        <v>-13600405.220000001</v>
      </c>
      <c r="AU554" s="6" t="e">
        <v>#REF!</v>
      </c>
      <c r="AV554" s="6" t="e">
        <v>#REF!</v>
      </c>
      <c r="AW554" s="62">
        <f t="shared" si="162"/>
        <v>3746079.1046375432</v>
      </c>
      <c r="AX554" s="55">
        <v>0</v>
      </c>
      <c r="AY554" s="55">
        <v>0</v>
      </c>
      <c r="AZ554" s="55">
        <v>3665913.0117982998</v>
      </c>
      <c r="BA554" s="55">
        <v>0</v>
      </c>
      <c r="BB554" s="55">
        <v>0</v>
      </c>
      <c r="BC554" s="55"/>
      <c r="BD554" s="55"/>
      <c r="BE554" s="55">
        <v>0</v>
      </c>
      <c r="BF554" s="55">
        <v>0</v>
      </c>
      <c r="BG554" s="55">
        <v>0</v>
      </c>
      <c r="BH554" s="55">
        <v>0</v>
      </c>
      <c r="BI554" s="55">
        <v>0</v>
      </c>
      <c r="BJ554" s="55"/>
      <c r="BK554" s="63"/>
      <c r="BL554" s="64">
        <v>80166.0928392434</v>
      </c>
      <c r="BM554" s="62">
        <f t="shared" si="163"/>
        <v>3746079.1046375432</v>
      </c>
      <c r="BN554" s="55">
        <v>0</v>
      </c>
      <c r="BO554" s="55">
        <v>0</v>
      </c>
      <c r="BP554" s="55">
        <v>3665913.0117982998</v>
      </c>
      <c r="BQ554" s="55">
        <v>0</v>
      </c>
      <c r="BR554" s="55">
        <v>0</v>
      </c>
      <c r="BS554" s="55"/>
      <c r="BT554" s="55"/>
      <c r="BU554" s="55">
        <v>0</v>
      </c>
      <c r="BV554" s="55">
        <v>0</v>
      </c>
      <c r="BW554" s="55">
        <v>0</v>
      </c>
      <c r="BX554" s="55">
        <v>0</v>
      </c>
      <c r="BY554" s="55">
        <v>0</v>
      </c>
      <c r="BZ554" s="55"/>
      <c r="CA554" s="63"/>
      <c r="CB554" s="64">
        <v>80166.0928392434</v>
      </c>
      <c r="CD554" s="75"/>
      <c r="CE554" s="6"/>
    </row>
    <row r="555" spans="1:83" x14ac:dyDescent="0.25">
      <c r="A555" s="105">
        <f t="shared" si="164"/>
        <v>533</v>
      </c>
      <c r="B555" s="107">
        <f t="shared" si="161"/>
        <v>74</v>
      </c>
      <c r="C555" s="53" t="s">
        <v>75</v>
      </c>
      <c r="D555" s="53" t="s">
        <v>463</v>
      </c>
      <c r="E555" s="54">
        <v>1982</v>
      </c>
      <c r="F555" s="54">
        <v>2008</v>
      </c>
      <c r="G555" s="54" t="s">
        <v>64</v>
      </c>
      <c r="H555" s="54">
        <v>5</v>
      </c>
      <c r="I555" s="54">
        <v>7</v>
      </c>
      <c r="J555" s="55">
        <v>6399.1</v>
      </c>
      <c r="K555" s="55">
        <v>4849.8999999999996</v>
      </c>
      <c r="L555" s="55">
        <v>814.5</v>
      </c>
      <c r="M555" s="56">
        <v>218</v>
      </c>
      <c r="N555" s="112">
        <v>4245972.51</v>
      </c>
      <c r="O555" s="55"/>
      <c r="P555" s="63"/>
      <c r="Q555" s="63"/>
      <c r="R555" s="63"/>
      <c r="S555" s="62">
        <v>4245972.51</v>
      </c>
      <c r="T555" s="63"/>
      <c r="U555" s="55">
        <v>749.58910281903297</v>
      </c>
      <c r="V555" s="55">
        <v>749.58910281903297</v>
      </c>
      <c r="W555" s="59">
        <v>2024</v>
      </c>
      <c r="X555" s="6" t="e">
        <v>#REF!</v>
      </c>
      <c r="Z555" s="62">
        <f t="shared" si="165"/>
        <v>16411893.353984786</v>
      </c>
      <c r="AA555" s="55">
        <v>10225965.4266984</v>
      </c>
      <c r="AB555" s="55">
        <v>0</v>
      </c>
      <c r="AC555" s="55">
        <v>3907208.0564832599</v>
      </c>
      <c r="AD555" s="55">
        <v>0</v>
      </c>
      <c r="AE555" s="55">
        <v>0</v>
      </c>
      <c r="AF555" s="55"/>
      <c r="AG555" s="55">
        <v>424568.124112911</v>
      </c>
      <c r="AH555" s="55">
        <v>0</v>
      </c>
      <c r="AI555" s="55">
        <v>0</v>
      </c>
      <c r="AJ555" s="55">
        <v>0</v>
      </c>
      <c r="AK555" s="55">
        <v>0</v>
      </c>
      <c r="AL555" s="55">
        <v>0</v>
      </c>
      <c r="AM555" s="55">
        <v>1371684.48860908</v>
      </c>
      <c r="AN555" s="63">
        <v>164118.93353984799</v>
      </c>
      <c r="AO555" s="64">
        <v>318348.32454128802</v>
      </c>
      <c r="AP555" s="61">
        <f>+N555-'Приложение №2'!E555</f>
        <v>-4.0081264451146126E-3</v>
      </c>
      <c r="AQ555" s="6">
        <f>2229911.9-R391</f>
        <v>-204218.47752487008</v>
      </c>
      <c r="AR555" s="3">
        <f>+(K555*10+L555*20)*12*0.85</f>
        <v>660847.79999999993</v>
      </c>
      <c r="AS555" s="3">
        <f>+(K555*10+L555*20)*12*30-S391</f>
        <v>23324040</v>
      </c>
      <c r="AT555" s="6">
        <f t="shared" si="166"/>
        <v>-19078067.490000002</v>
      </c>
      <c r="AU555" s="6" t="e">
        <v>#REF!</v>
      </c>
      <c r="AV555" s="6" t="e">
        <v>#REF!</v>
      </c>
      <c r="AW555" s="62">
        <f t="shared" si="162"/>
        <v>4245972.5140081262</v>
      </c>
      <c r="AX555" s="55"/>
      <c r="AY555" s="55">
        <v>0</v>
      </c>
      <c r="AZ555" s="55">
        <v>3907208.0564832599</v>
      </c>
      <c r="BA555" s="55">
        <v>0</v>
      </c>
      <c r="BB555" s="55">
        <v>0</v>
      </c>
      <c r="BC555" s="55"/>
      <c r="BD555" s="55"/>
      <c r="BE555" s="55">
        <v>0</v>
      </c>
      <c r="BF555" s="55">
        <v>0</v>
      </c>
      <c r="BG555" s="55">
        <v>0</v>
      </c>
      <c r="BH555" s="55">
        <v>0</v>
      </c>
      <c r="BI555" s="55">
        <v>0</v>
      </c>
      <c r="BJ555" s="55"/>
      <c r="BK555" s="63"/>
      <c r="BL555" s="64">
        <v>338764.45752486598</v>
      </c>
      <c r="BM555" s="62">
        <f t="shared" si="163"/>
        <v>4245972.5140081262</v>
      </c>
      <c r="BN555" s="55"/>
      <c r="BO555" s="55">
        <v>0</v>
      </c>
      <c r="BP555" s="55">
        <v>3907208.0564832599</v>
      </c>
      <c r="BQ555" s="55">
        <v>0</v>
      </c>
      <c r="BR555" s="55">
        <v>0</v>
      </c>
      <c r="BS555" s="55"/>
      <c r="BT555" s="55"/>
      <c r="BU555" s="55">
        <v>0</v>
      </c>
      <c r="BV555" s="55">
        <v>0</v>
      </c>
      <c r="BW555" s="55">
        <v>0</v>
      </c>
      <c r="BX555" s="55">
        <v>0</v>
      </c>
      <c r="BY555" s="55">
        <v>0</v>
      </c>
      <c r="BZ555" s="55"/>
      <c r="CA555" s="63"/>
      <c r="CB555" s="64">
        <v>338764.45752486598</v>
      </c>
      <c r="CD555" s="75"/>
      <c r="CE555" s="6"/>
    </row>
    <row r="556" spans="1:83" x14ac:dyDescent="0.25">
      <c r="A556" s="105">
        <f t="shared" si="164"/>
        <v>534</v>
      </c>
      <c r="B556" s="107">
        <f t="shared" si="161"/>
        <v>75</v>
      </c>
      <c r="C556" s="53" t="s">
        <v>75</v>
      </c>
      <c r="D556" s="53" t="s">
        <v>568</v>
      </c>
      <c r="E556" s="54">
        <v>1979</v>
      </c>
      <c r="F556" s="54">
        <v>2015</v>
      </c>
      <c r="G556" s="54" t="s">
        <v>64</v>
      </c>
      <c r="H556" s="54">
        <v>5</v>
      </c>
      <c r="I556" s="54">
        <v>4</v>
      </c>
      <c r="J556" s="55">
        <v>4063.4</v>
      </c>
      <c r="K556" s="55">
        <v>3700.2</v>
      </c>
      <c r="L556" s="55">
        <v>117.2</v>
      </c>
      <c r="M556" s="56">
        <v>192</v>
      </c>
      <c r="N556" s="112">
        <v>13972173.26</v>
      </c>
      <c r="O556" s="55"/>
      <c r="P556" s="62">
        <v>687023.05</v>
      </c>
      <c r="Q556" s="63"/>
      <c r="R556" s="62">
        <v>1873324.27</v>
      </c>
      <c r="S556" s="62">
        <v>10704733.460000001</v>
      </c>
      <c r="T556" s="62">
        <v>707092.47999999998</v>
      </c>
      <c r="U556" s="63">
        <v>3776.0589306153202</v>
      </c>
      <c r="V556" s="63">
        <v>1222.2830200640001</v>
      </c>
      <c r="W556" s="59">
        <v>2024</v>
      </c>
      <c r="X556" s="6" t="e">
        <v>#REF!</v>
      </c>
      <c r="Z556" s="62">
        <f t="shared" si="165"/>
        <v>14237628.820496632</v>
      </c>
      <c r="AA556" s="55">
        <v>0</v>
      </c>
      <c r="AB556" s="55">
        <v>0</v>
      </c>
      <c r="AC556" s="55">
        <v>0</v>
      </c>
      <c r="AD556" s="55">
        <v>0</v>
      </c>
      <c r="AE556" s="55">
        <v>0</v>
      </c>
      <c r="AF556" s="55"/>
      <c r="AG556" s="55">
        <v>0</v>
      </c>
      <c r="AH556" s="55">
        <v>0</v>
      </c>
      <c r="AI556" s="55">
        <v>12539649.2073642</v>
      </c>
      <c r="AJ556" s="55">
        <v>0</v>
      </c>
      <c r="AK556" s="55">
        <v>0</v>
      </c>
      <c r="AL556" s="55">
        <v>0</v>
      </c>
      <c r="AM556" s="55">
        <v>1281386.5938446999</v>
      </c>
      <c r="AN556" s="63">
        <v>142376.288204966</v>
      </c>
      <c r="AO556" s="64">
        <v>274216.73108276498</v>
      </c>
      <c r="AP556" s="61">
        <f>+N556-'Приложение №2'!E556</f>
        <v>4.9371551722288132E-3</v>
      </c>
      <c r="AQ556" s="1">
        <f>2319947.14-868018.53</f>
        <v>1451928.61</v>
      </c>
      <c r="AR556" s="3">
        <f>+(K556*10.5+L556*21)*12*0.85</f>
        <v>421395.66</v>
      </c>
      <c r="AS556" s="3">
        <f>+(K556*10.5+L556*21)*12*30-4168054.54</f>
        <v>10704733.460000001</v>
      </c>
      <c r="AT556" s="6">
        <f t="shared" si="166"/>
        <v>0</v>
      </c>
      <c r="AU556" s="6" t="e">
        <v>#REF!</v>
      </c>
      <c r="AV556" s="6" t="e">
        <v>#REF!</v>
      </c>
      <c r="AW556" s="110">
        <f t="shared" si="162"/>
        <v>13972173.255062845</v>
      </c>
      <c r="AX556" s="55">
        <v>0</v>
      </c>
      <c r="AY556" s="55">
        <v>0</v>
      </c>
      <c r="AZ556" s="55">
        <v>0</v>
      </c>
      <c r="BA556" s="55">
        <v>0</v>
      </c>
      <c r="BB556" s="55">
        <v>0</v>
      </c>
      <c r="BC556" s="55"/>
      <c r="BD556" s="55"/>
      <c r="BE556" s="55">
        <v>0</v>
      </c>
      <c r="BF556" s="55">
        <v>13673168.747404501</v>
      </c>
      <c r="BG556" s="55">
        <v>0</v>
      </c>
      <c r="BH556" s="55">
        <v>0</v>
      </c>
      <c r="BI556" s="55">
        <v>0</v>
      </c>
      <c r="BJ556" s="55"/>
      <c r="BK556" s="63"/>
      <c r="BL556" s="64">
        <v>299004.50765834399</v>
      </c>
      <c r="BM556" s="110">
        <f t="shared" si="163"/>
        <v>13972173.255062845</v>
      </c>
      <c r="BN556" s="55">
        <v>0</v>
      </c>
      <c r="BO556" s="55">
        <v>0</v>
      </c>
      <c r="BP556" s="55">
        <v>0</v>
      </c>
      <c r="BQ556" s="55">
        <v>0</v>
      </c>
      <c r="BR556" s="55">
        <v>0</v>
      </c>
      <c r="BS556" s="55"/>
      <c r="BT556" s="55"/>
      <c r="BU556" s="55">
        <v>0</v>
      </c>
      <c r="BV556" s="55">
        <v>13673168.747404501</v>
      </c>
      <c r="BW556" s="55">
        <v>0</v>
      </c>
      <c r="BX556" s="55">
        <v>0</v>
      </c>
      <c r="BY556" s="55">
        <v>0</v>
      </c>
      <c r="BZ556" s="55"/>
      <c r="CA556" s="63"/>
      <c r="CB556" s="64">
        <v>299004.50765834399</v>
      </c>
      <c r="CD556" s="75"/>
      <c r="CE556" s="6"/>
    </row>
    <row r="557" spans="1:83" x14ac:dyDescent="0.25">
      <c r="A557" s="105">
        <f t="shared" si="164"/>
        <v>535</v>
      </c>
      <c r="B557" s="107">
        <f t="shared" si="161"/>
        <v>76</v>
      </c>
      <c r="C557" s="53" t="s">
        <v>75</v>
      </c>
      <c r="D557" s="53" t="s">
        <v>464</v>
      </c>
      <c r="E557" s="54">
        <v>1983</v>
      </c>
      <c r="F557" s="54">
        <v>2015</v>
      </c>
      <c r="G557" s="54" t="s">
        <v>64</v>
      </c>
      <c r="H557" s="54">
        <v>5</v>
      </c>
      <c r="I557" s="54">
        <v>4</v>
      </c>
      <c r="J557" s="55">
        <v>4471.8999999999996</v>
      </c>
      <c r="K557" s="55">
        <v>3791</v>
      </c>
      <c r="L557" s="55">
        <v>256.8</v>
      </c>
      <c r="M557" s="56">
        <v>156</v>
      </c>
      <c r="N557" s="112">
        <v>13630832.76</v>
      </c>
      <c r="O557" s="55"/>
      <c r="P557" s="63"/>
      <c r="Q557" s="63"/>
      <c r="R557" s="62">
        <v>2235221.37</v>
      </c>
      <c r="S557" s="62">
        <v>11395611.390000001</v>
      </c>
      <c r="T557" s="63"/>
      <c r="U557" s="55">
        <v>3367.4669587092499</v>
      </c>
      <c r="V557" s="55">
        <v>3367.4669587092499</v>
      </c>
      <c r="W557" s="59">
        <v>2024</v>
      </c>
      <c r="X557" s="6" t="e">
        <v>#REF!</v>
      </c>
      <c r="Z557" s="62">
        <f t="shared" si="165"/>
        <v>12482547.809364172</v>
      </c>
      <c r="AA557" s="55">
        <v>7789654.8248060504</v>
      </c>
      <c r="AB557" s="55">
        <v>0</v>
      </c>
      <c r="AC557" s="55">
        <v>0</v>
      </c>
      <c r="AD557" s="55">
        <v>3143610.4937155801</v>
      </c>
      <c r="AE557" s="55">
        <v>0</v>
      </c>
      <c r="AF557" s="55"/>
      <c r="AG557" s="55">
        <v>0</v>
      </c>
      <c r="AH557" s="55">
        <v>0</v>
      </c>
      <c r="AI557" s="55">
        <v>0</v>
      </c>
      <c r="AJ557" s="55">
        <v>0</v>
      </c>
      <c r="AK557" s="55">
        <v>0</v>
      </c>
      <c r="AL557" s="55">
        <v>0</v>
      </c>
      <c r="AM557" s="55">
        <v>1185368.6438378401</v>
      </c>
      <c r="AN557" s="63">
        <v>124825.478093642</v>
      </c>
      <c r="AO557" s="64">
        <v>239088.36891106001</v>
      </c>
      <c r="AP557" s="61">
        <f>+N557-'Приложение №2'!E557</f>
        <v>4.5366920530796051E-3</v>
      </c>
      <c r="AQ557" s="1">
        <v>1796152.17</v>
      </c>
      <c r="AR557" s="3">
        <f>+(K557*10+L557*20)*12*0.85</f>
        <v>439069.2</v>
      </c>
      <c r="AS557" s="3">
        <f>+(K557*10+L557*20)*12*30</f>
        <v>15496560</v>
      </c>
      <c r="AT557" s="6">
        <f t="shared" si="166"/>
        <v>-4100948.6099999994</v>
      </c>
      <c r="AU557" s="6" t="e">
        <v>#REF!</v>
      </c>
      <c r="AV557" s="6" t="e">
        <v>#REF!</v>
      </c>
      <c r="AW557" s="62">
        <f t="shared" si="162"/>
        <v>13630832.755463308</v>
      </c>
      <c r="AX557" s="55">
        <v>9909305.8300000001</v>
      </c>
      <c r="AY557" s="55">
        <v>0</v>
      </c>
      <c r="AZ557" s="55">
        <v>0</v>
      </c>
      <c r="BA557" s="55">
        <v>3466626.6149921198</v>
      </c>
      <c r="BB557" s="55">
        <v>0</v>
      </c>
      <c r="BC557" s="55"/>
      <c r="BD557" s="55"/>
      <c r="BE557" s="55">
        <v>0</v>
      </c>
      <c r="BF557" s="55">
        <v>0</v>
      </c>
      <c r="BG557" s="55">
        <v>0</v>
      </c>
      <c r="BH557" s="55">
        <v>0</v>
      </c>
      <c r="BI557" s="55">
        <v>0</v>
      </c>
      <c r="BJ557" s="55"/>
      <c r="BK557" s="63"/>
      <c r="BL557" s="64">
        <v>254900.310471189</v>
      </c>
      <c r="BM557" s="62">
        <f t="shared" si="163"/>
        <v>13630832.755463308</v>
      </c>
      <c r="BN557" s="55">
        <v>9909305.8300000001</v>
      </c>
      <c r="BO557" s="55">
        <v>0</v>
      </c>
      <c r="BP557" s="55">
        <v>0</v>
      </c>
      <c r="BQ557" s="55">
        <v>3466626.6149921198</v>
      </c>
      <c r="BR557" s="55">
        <v>0</v>
      </c>
      <c r="BS557" s="55"/>
      <c r="BT557" s="55"/>
      <c r="BU557" s="55">
        <v>0</v>
      </c>
      <c r="BV557" s="55">
        <v>0</v>
      </c>
      <c r="BW557" s="55">
        <v>0</v>
      </c>
      <c r="BX557" s="55">
        <v>0</v>
      </c>
      <c r="BY557" s="55">
        <v>0</v>
      </c>
      <c r="BZ557" s="55"/>
      <c r="CA557" s="63"/>
      <c r="CB557" s="64">
        <v>254900.310471189</v>
      </c>
      <c r="CD557" s="75"/>
      <c r="CE557" s="6"/>
    </row>
    <row r="558" spans="1:83" x14ac:dyDescent="0.25">
      <c r="A558" s="105">
        <f t="shared" si="164"/>
        <v>536</v>
      </c>
      <c r="B558" s="107">
        <f t="shared" si="161"/>
        <v>77</v>
      </c>
      <c r="C558" s="53" t="s">
        <v>75</v>
      </c>
      <c r="D558" s="53" t="s">
        <v>569</v>
      </c>
      <c r="E558" s="54">
        <v>1983</v>
      </c>
      <c r="F558" s="54">
        <v>2015</v>
      </c>
      <c r="G558" s="54" t="s">
        <v>64</v>
      </c>
      <c r="H558" s="54">
        <v>5</v>
      </c>
      <c r="I558" s="54">
        <v>3</v>
      </c>
      <c r="J558" s="55">
        <v>5101.8</v>
      </c>
      <c r="K558" s="55">
        <v>4226.1000000000004</v>
      </c>
      <c r="L558" s="55">
        <v>155.6</v>
      </c>
      <c r="M558" s="56">
        <v>188</v>
      </c>
      <c r="N558" s="112">
        <v>15225992.640000001</v>
      </c>
      <c r="O558" s="55"/>
      <c r="P558" s="62">
        <v>1033951.66</v>
      </c>
      <c r="Q558" s="63"/>
      <c r="R558" s="62">
        <v>3550437.27</v>
      </c>
      <c r="S558" s="62">
        <v>10641603.710000001</v>
      </c>
      <c r="T558" s="63"/>
      <c r="U558" s="55">
        <v>3308.8855299062302</v>
      </c>
      <c r="V558" s="55">
        <v>3308.8855299062302</v>
      </c>
      <c r="W558" s="59">
        <v>2024</v>
      </c>
      <c r="X558" s="6" t="e">
        <v>#REF!</v>
      </c>
      <c r="Z558" s="62">
        <f t="shared" si="165"/>
        <v>13740614.366325345</v>
      </c>
      <c r="AA558" s="55">
        <v>8574743.2839111704</v>
      </c>
      <c r="AB558" s="55">
        <v>0</v>
      </c>
      <c r="AC558" s="55">
        <v>0</v>
      </c>
      <c r="AD558" s="55">
        <v>3460442.5452050199</v>
      </c>
      <c r="AE558" s="55">
        <v>0</v>
      </c>
      <c r="AF558" s="55"/>
      <c r="AG558" s="55">
        <v>0</v>
      </c>
      <c r="AH558" s="55">
        <v>0</v>
      </c>
      <c r="AI558" s="55">
        <v>0</v>
      </c>
      <c r="AJ558" s="55">
        <v>0</v>
      </c>
      <c r="AK558" s="55">
        <v>0</v>
      </c>
      <c r="AL558" s="55">
        <v>0</v>
      </c>
      <c r="AM558" s="55">
        <v>1304837.25483439</v>
      </c>
      <c r="AN558" s="63">
        <v>137406.14366325401</v>
      </c>
      <c r="AO558" s="64">
        <v>263185.13871151302</v>
      </c>
      <c r="AP558" s="61">
        <f>+N558-'Приложение №2'!E558</f>
        <v>-1.180967316031456E-3</v>
      </c>
      <c r="AQ558" s="1">
        <v>2091553.56</v>
      </c>
      <c r="AR558" s="3">
        <f>+(K558*10+L558*20)*12*0.85</f>
        <v>462804.6</v>
      </c>
      <c r="AS558" s="3">
        <f>+(K558*10+L558*20)*12*30</f>
        <v>16334280</v>
      </c>
      <c r="AT558" s="6">
        <f t="shared" si="166"/>
        <v>-5692676.2899999991</v>
      </c>
      <c r="AU558" s="6" t="e">
        <v>#REF!</v>
      </c>
      <c r="AV558" s="6" t="e">
        <v>#REF!</v>
      </c>
      <c r="AW558" s="62">
        <f t="shared" si="162"/>
        <v>14498543.726390138</v>
      </c>
      <c r="AX558" s="55">
        <v>10454253.24</v>
      </c>
      <c r="AY558" s="55">
        <v>0</v>
      </c>
      <c r="AZ558" s="55">
        <v>0</v>
      </c>
      <c r="BA558" s="55">
        <v>3766945.2952091699</v>
      </c>
      <c r="BB558" s="55">
        <v>0</v>
      </c>
      <c r="BC558" s="55"/>
      <c r="BD558" s="55"/>
      <c r="BE558" s="55">
        <v>0</v>
      </c>
      <c r="BF558" s="55">
        <v>0</v>
      </c>
      <c r="BG558" s="55">
        <v>0</v>
      </c>
      <c r="BH558" s="55">
        <v>0</v>
      </c>
      <c r="BI558" s="55">
        <v>0</v>
      </c>
      <c r="BJ558" s="55"/>
      <c r="BK558" s="63"/>
      <c r="BL558" s="64">
        <v>277345.19118096901</v>
      </c>
      <c r="BM558" s="62">
        <f t="shared" si="163"/>
        <v>14498543.726390138</v>
      </c>
      <c r="BN558" s="55">
        <v>10454253.24</v>
      </c>
      <c r="BO558" s="55">
        <v>0</v>
      </c>
      <c r="BP558" s="55">
        <v>0</v>
      </c>
      <c r="BQ558" s="55">
        <v>3766945.2952091699</v>
      </c>
      <c r="BR558" s="55">
        <v>0</v>
      </c>
      <c r="BS558" s="55"/>
      <c r="BT558" s="55"/>
      <c r="BU558" s="55">
        <v>0</v>
      </c>
      <c r="BV558" s="55">
        <v>0</v>
      </c>
      <c r="BW558" s="55">
        <v>0</v>
      </c>
      <c r="BX558" s="55">
        <v>0</v>
      </c>
      <c r="BY558" s="55">
        <v>0</v>
      </c>
      <c r="BZ558" s="55"/>
      <c r="CA558" s="63"/>
      <c r="CB558" s="64">
        <v>277345.19118096901</v>
      </c>
      <c r="CD558" s="75"/>
      <c r="CE558" s="6"/>
    </row>
    <row r="559" spans="1:83" x14ac:dyDescent="0.25">
      <c r="A559" s="105">
        <f t="shared" si="164"/>
        <v>537</v>
      </c>
      <c r="B559" s="107">
        <f t="shared" si="161"/>
        <v>78</v>
      </c>
      <c r="C559" s="53" t="s">
        <v>75</v>
      </c>
      <c r="D559" s="53" t="s">
        <v>467</v>
      </c>
      <c r="E559" s="54">
        <v>1996</v>
      </c>
      <c r="F559" s="54">
        <v>1996</v>
      </c>
      <c r="G559" s="54" t="s">
        <v>64</v>
      </c>
      <c r="H559" s="54">
        <v>3</v>
      </c>
      <c r="I559" s="54">
        <v>2</v>
      </c>
      <c r="J559" s="55">
        <v>1212.9000000000001</v>
      </c>
      <c r="K559" s="55">
        <v>969.5</v>
      </c>
      <c r="L559" s="55">
        <v>83.1</v>
      </c>
      <c r="M559" s="56">
        <v>29</v>
      </c>
      <c r="N559" s="112">
        <v>4384839.7300000004</v>
      </c>
      <c r="O559" s="55"/>
      <c r="P559" s="62">
        <v>1063992.56</v>
      </c>
      <c r="Q559" s="63"/>
      <c r="R559" s="62">
        <v>121633.47</v>
      </c>
      <c r="S559" s="62">
        <v>1672272.69</v>
      </c>
      <c r="T559" s="62">
        <v>1526941.01</v>
      </c>
      <c r="U559" s="63">
        <v>4522.7846589497103</v>
      </c>
      <c r="V559" s="63">
        <v>1230.2830200640001</v>
      </c>
      <c r="W559" s="59">
        <v>2024</v>
      </c>
      <c r="X559" s="6" t="e">
        <v>#REF!</v>
      </c>
      <c r="Z559" s="62">
        <f t="shared" si="165"/>
        <v>8757819.8399999999</v>
      </c>
      <c r="AA559" s="55">
        <v>4004514.1821484799</v>
      </c>
      <c r="AB559" s="55">
        <v>2086346.4776985601</v>
      </c>
      <c r="AC559" s="55">
        <v>863302.14653759997</v>
      </c>
      <c r="AD559" s="55">
        <v>448610.79529728001</v>
      </c>
      <c r="AE559" s="55">
        <v>0</v>
      </c>
      <c r="AF559" s="55"/>
      <c r="AG559" s="55">
        <v>327305.36184192001</v>
      </c>
      <c r="AH559" s="55">
        <v>0</v>
      </c>
      <c r="AI559" s="55">
        <v>0</v>
      </c>
      <c r="AJ559" s="55">
        <v>0</v>
      </c>
      <c r="AK559" s="55">
        <v>0</v>
      </c>
      <c r="AL559" s="55">
        <v>0</v>
      </c>
      <c r="AM559" s="55">
        <v>771121.50719999999</v>
      </c>
      <c r="AN559" s="63">
        <v>87578.198399999994</v>
      </c>
      <c r="AO559" s="64">
        <v>169041.17087616</v>
      </c>
      <c r="AP559" s="61">
        <f>+N559-'Приложение №2'!E559</f>
        <v>3.1482633203268051E-3</v>
      </c>
      <c r="AQ559" s="65">
        <f>672957.62-R395</f>
        <v>-121633.46999999997</v>
      </c>
      <c r="AR559" s="3">
        <f>+(K559*10.5+L559*21)*12*0.85</f>
        <v>121633.47</v>
      </c>
      <c r="AS559" s="3">
        <f>+(K559*10.5+L559*21)*12*30-S395</f>
        <v>2179179.6198453698</v>
      </c>
      <c r="AT559" s="6">
        <f t="shared" si="166"/>
        <v>-506906.92984536989</v>
      </c>
      <c r="AU559" s="6" t="e">
        <v>#REF!</v>
      </c>
      <c r="AV559" s="6" t="e">
        <v>#REF!</v>
      </c>
      <c r="AW559" s="110">
        <f t="shared" si="162"/>
        <v>4384839.7268517371</v>
      </c>
      <c r="AX559" s="55"/>
      <c r="AY559" s="55"/>
      <c r="AZ559" s="55"/>
      <c r="BA559" s="55"/>
      <c r="BB559" s="55">
        <v>0</v>
      </c>
      <c r="BC559" s="55"/>
      <c r="BD559" s="55"/>
      <c r="BE559" s="55">
        <v>0</v>
      </c>
      <c r="BF559" s="55">
        <v>0</v>
      </c>
      <c r="BG559" s="55">
        <v>4291004.1566971103</v>
      </c>
      <c r="BH559" s="55">
        <v>0</v>
      </c>
      <c r="BI559" s="55">
        <v>0</v>
      </c>
      <c r="BJ559" s="55"/>
      <c r="BK559" s="63"/>
      <c r="BL559" s="64">
        <v>93835.570154627305</v>
      </c>
      <c r="BM559" s="110">
        <f t="shared" si="163"/>
        <v>4384839.7268517371</v>
      </c>
      <c r="BN559" s="55"/>
      <c r="BO559" s="55"/>
      <c r="BP559" s="55"/>
      <c r="BQ559" s="55"/>
      <c r="BR559" s="55">
        <v>0</v>
      </c>
      <c r="BS559" s="55"/>
      <c r="BT559" s="55"/>
      <c r="BU559" s="55">
        <v>0</v>
      </c>
      <c r="BV559" s="55">
        <v>0</v>
      </c>
      <c r="BW559" s="55">
        <v>4291004.1566971103</v>
      </c>
      <c r="BX559" s="55">
        <v>0</v>
      </c>
      <c r="BY559" s="55">
        <v>0</v>
      </c>
      <c r="BZ559" s="55"/>
      <c r="CA559" s="63"/>
      <c r="CB559" s="64">
        <v>93835.570154627305</v>
      </c>
      <c r="CD559" s="75"/>
      <c r="CE559" s="6"/>
    </row>
    <row r="560" spans="1:83" x14ac:dyDescent="0.25">
      <c r="A560" s="105">
        <f t="shared" si="164"/>
        <v>538</v>
      </c>
      <c r="B560" s="107">
        <f t="shared" si="161"/>
        <v>79</v>
      </c>
      <c r="C560" s="53" t="s">
        <v>75</v>
      </c>
      <c r="D560" s="53" t="s">
        <v>570</v>
      </c>
      <c r="E560" s="54">
        <v>1992</v>
      </c>
      <c r="F560" s="54">
        <v>1992</v>
      </c>
      <c r="G560" s="54" t="s">
        <v>64</v>
      </c>
      <c r="H560" s="54">
        <v>2</v>
      </c>
      <c r="I560" s="54">
        <v>8</v>
      </c>
      <c r="J560" s="55">
        <v>962.7</v>
      </c>
      <c r="K560" s="55">
        <v>961.6</v>
      </c>
      <c r="L560" s="55">
        <v>0</v>
      </c>
      <c r="M560" s="56">
        <v>42</v>
      </c>
      <c r="N560" s="112">
        <v>21989359.510000002</v>
      </c>
      <c r="O560" s="55"/>
      <c r="P560" s="62">
        <v>534822.97</v>
      </c>
      <c r="Q560" s="63"/>
      <c r="R560" s="62">
        <v>706513.82</v>
      </c>
      <c r="S560" s="62">
        <v>3634848</v>
      </c>
      <c r="T560" s="62">
        <v>17113174.719999999</v>
      </c>
      <c r="U560" s="63">
        <v>22867.4703734881</v>
      </c>
      <c r="V560" s="63">
        <v>1227.2830200640001</v>
      </c>
      <c r="W560" s="59">
        <v>2024</v>
      </c>
      <c r="X560" s="6" t="e">
        <v>#REF!</v>
      </c>
      <c r="Z560" s="62">
        <f t="shared" si="165"/>
        <v>20215689.169999998</v>
      </c>
      <c r="AA560" s="55">
        <v>0</v>
      </c>
      <c r="AB560" s="55">
        <v>0</v>
      </c>
      <c r="AC560" s="55">
        <v>0</v>
      </c>
      <c r="AD560" s="55">
        <v>0</v>
      </c>
      <c r="AE560" s="55">
        <v>0</v>
      </c>
      <c r="AF560" s="55"/>
      <c r="AG560" s="55">
        <v>0</v>
      </c>
      <c r="AH560" s="55">
        <v>0</v>
      </c>
      <c r="AI560" s="55">
        <v>8186116.5976967998</v>
      </c>
      <c r="AJ560" s="55">
        <v>0</v>
      </c>
      <c r="AK560" s="55">
        <v>9511775.5987569001</v>
      </c>
      <c r="AL560" s="55">
        <v>0</v>
      </c>
      <c r="AM560" s="55">
        <v>1928623.0238000001</v>
      </c>
      <c r="AN560" s="63">
        <v>202156.89170000001</v>
      </c>
      <c r="AO560" s="64">
        <v>387017.05804630002</v>
      </c>
      <c r="AP560" s="61">
        <f>+N560-'Приложение №2'!E560</f>
        <v>-1.1461302638053894E-3</v>
      </c>
      <c r="AQ560" s="65">
        <v>603526.46</v>
      </c>
      <c r="AR560" s="3">
        <f>+(K560*10.5+L560*21)*12*0.85</f>
        <v>102987.36</v>
      </c>
      <c r="AS560" s="3">
        <f>+(K560*10.5+L560*21)*12*30</f>
        <v>3634848</v>
      </c>
      <c r="AT560" s="6">
        <f t="shared" si="166"/>
        <v>0</v>
      </c>
      <c r="AU560" s="6" t="e">
        <v>#REF!</v>
      </c>
      <c r="AV560" s="6" t="e">
        <v>#REF!</v>
      </c>
      <c r="AW560" s="110">
        <f t="shared" si="162"/>
        <v>21989359.511146132</v>
      </c>
      <c r="AX560" s="55">
        <v>0</v>
      </c>
      <c r="AY560" s="55">
        <v>0</v>
      </c>
      <c r="AZ560" s="55">
        <v>0</v>
      </c>
      <c r="BA560" s="55">
        <v>0</v>
      </c>
      <c r="BB560" s="55">
        <v>0</v>
      </c>
      <c r="BC560" s="55"/>
      <c r="BD560" s="55"/>
      <c r="BE560" s="55">
        <v>0</v>
      </c>
      <c r="BF560" s="55">
        <v>8908740.4806679804</v>
      </c>
      <c r="BG560" s="55">
        <v>0</v>
      </c>
      <c r="BH560" s="55">
        <v>12608207.194969799</v>
      </c>
      <c r="BI560" s="55">
        <v>0</v>
      </c>
      <c r="BJ560" s="55"/>
      <c r="BK560" s="63"/>
      <c r="BL560" s="64">
        <v>472411.83550834999</v>
      </c>
      <c r="BM560" s="110">
        <f t="shared" si="163"/>
        <v>21989359.511146132</v>
      </c>
      <c r="BN560" s="55">
        <v>0</v>
      </c>
      <c r="BO560" s="55">
        <v>0</v>
      </c>
      <c r="BP560" s="55">
        <v>0</v>
      </c>
      <c r="BQ560" s="55">
        <v>0</v>
      </c>
      <c r="BR560" s="55">
        <v>0</v>
      </c>
      <c r="BS560" s="55"/>
      <c r="BT560" s="55"/>
      <c r="BU560" s="55">
        <v>0</v>
      </c>
      <c r="BV560" s="55">
        <v>8908740.4806679804</v>
      </c>
      <c r="BW560" s="55">
        <v>0</v>
      </c>
      <c r="BX560" s="55">
        <v>12608207.194969799</v>
      </c>
      <c r="BY560" s="55">
        <v>0</v>
      </c>
      <c r="BZ560" s="55"/>
      <c r="CA560" s="63"/>
      <c r="CB560" s="64">
        <v>472411.83550834999</v>
      </c>
      <c r="CD560" s="75"/>
      <c r="CE560" s="6"/>
    </row>
    <row r="561" spans="1:84" x14ac:dyDescent="0.25">
      <c r="A561" s="105">
        <f t="shared" si="164"/>
        <v>539</v>
      </c>
      <c r="B561" s="107">
        <f t="shared" si="161"/>
        <v>80</v>
      </c>
      <c r="C561" s="53" t="s">
        <v>75</v>
      </c>
      <c r="D561" s="53" t="s">
        <v>571</v>
      </c>
      <c r="E561" s="54">
        <v>1984</v>
      </c>
      <c r="F561" s="54">
        <v>2016</v>
      </c>
      <c r="G561" s="54" t="s">
        <v>64</v>
      </c>
      <c r="H561" s="54">
        <v>5</v>
      </c>
      <c r="I561" s="54">
        <v>4</v>
      </c>
      <c r="J561" s="55">
        <v>5755.6</v>
      </c>
      <c r="K561" s="55">
        <v>4829.1000000000004</v>
      </c>
      <c r="L561" s="55">
        <v>0</v>
      </c>
      <c r="M561" s="56">
        <v>186</v>
      </c>
      <c r="N561" s="112">
        <v>31344693.109999999</v>
      </c>
      <c r="O561" s="55"/>
      <c r="P561" s="62">
        <v>1684646.68</v>
      </c>
      <c r="Q561" s="63"/>
      <c r="R561" s="62">
        <v>3331024.37</v>
      </c>
      <c r="S561" s="62">
        <v>18253998</v>
      </c>
      <c r="T561" s="62">
        <v>8075024.0599999996</v>
      </c>
      <c r="U561" s="63">
        <v>9118.6723870044498</v>
      </c>
      <c r="V561" s="63">
        <v>1228.2830200640001</v>
      </c>
      <c r="W561" s="59">
        <v>2024</v>
      </c>
      <c r="X561" s="6" t="e">
        <v>#REF!</v>
      </c>
      <c r="Z561" s="62">
        <f t="shared" si="165"/>
        <v>33258616.608594138</v>
      </c>
      <c r="AA561" s="55">
        <v>9139483.8463669103</v>
      </c>
      <c r="AB561" s="55">
        <v>0</v>
      </c>
      <c r="AC561" s="55">
        <v>0</v>
      </c>
      <c r="AD561" s="55">
        <v>3864839.2348521799</v>
      </c>
      <c r="AE561" s="55">
        <v>0</v>
      </c>
      <c r="AF561" s="55"/>
      <c r="AG561" s="55">
        <v>397616.119024474</v>
      </c>
      <c r="AH561" s="55">
        <v>0</v>
      </c>
      <c r="AI561" s="55">
        <v>15843387.1743154</v>
      </c>
      <c r="AJ561" s="55">
        <v>0</v>
      </c>
      <c r="AK561" s="55">
        <v>0</v>
      </c>
      <c r="AL561" s="55">
        <v>0</v>
      </c>
      <c r="AM561" s="55">
        <v>3041168.01193497</v>
      </c>
      <c r="AN561" s="63">
        <v>332586.16608594102</v>
      </c>
      <c r="AO561" s="64">
        <v>639536.05601426703</v>
      </c>
      <c r="AP561" s="61">
        <f>+N561-'Приложение №2'!E561</f>
        <v>-3.1500570476055145E-3</v>
      </c>
      <c r="AQ561" s="65">
        <v>2813827.76</v>
      </c>
      <c r="AR561" s="3">
        <f>+(K561*10.5+L561*21)*12*0.85</f>
        <v>517196.61000000004</v>
      </c>
      <c r="AS561" s="3">
        <f>+(K561*10.5+L561*21)*12*30</f>
        <v>18253998.000000004</v>
      </c>
      <c r="AT561" s="6">
        <f t="shared" si="166"/>
        <v>0</v>
      </c>
      <c r="AU561" s="6" t="e">
        <v>#REF!</v>
      </c>
      <c r="AV561" s="6" t="e">
        <v>#REF!</v>
      </c>
      <c r="AW561" s="110">
        <f t="shared" si="162"/>
        <v>44034980.824083261</v>
      </c>
      <c r="AX561" s="55">
        <v>17650757.325178199</v>
      </c>
      <c r="AY561" s="55">
        <v>0</v>
      </c>
      <c r="AZ561" s="55">
        <v>0</v>
      </c>
      <c r="BA561" s="55">
        <v>5270628.8244372001</v>
      </c>
      <c r="BB561" s="55">
        <v>0</v>
      </c>
      <c r="BC561" s="55"/>
      <c r="BD561" s="55">
        <v>521283.62919142901</v>
      </c>
      <c r="BE561" s="55"/>
      <c r="BF561" s="55">
        <v>19605564.1809332</v>
      </c>
      <c r="BG561" s="55">
        <v>0</v>
      </c>
      <c r="BH561" s="55">
        <v>0</v>
      </c>
      <c r="BI561" s="55">
        <v>0</v>
      </c>
      <c r="BJ561" s="55"/>
      <c r="BK561" s="63"/>
      <c r="BL561" s="64">
        <v>986746.86434323096</v>
      </c>
      <c r="BM561" s="110">
        <f t="shared" si="163"/>
        <v>44034980.824083261</v>
      </c>
      <c r="BN561" s="55">
        <v>17650757.325178199</v>
      </c>
      <c r="BO561" s="55">
        <v>0</v>
      </c>
      <c r="BP561" s="55">
        <v>0</v>
      </c>
      <c r="BQ561" s="55">
        <v>5270628.8244372001</v>
      </c>
      <c r="BR561" s="55">
        <v>0</v>
      </c>
      <c r="BS561" s="55"/>
      <c r="BT561" s="55">
        <v>521283.62919142901</v>
      </c>
      <c r="BU561" s="55"/>
      <c r="BV561" s="55">
        <v>19605564.1809332</v>
      </c>
      <c r="BW561" s="55">
        <v>0</v>
      </c>
      <c r="BX561" s="55">
        <v>0</v>
      </c>
      <c r="BY561" s="55">
        <v>0</v>
      </c>
      <c r="BZ561" s="55"/>
      <c r="CA561" s="63"/>
      <c r="CB561" s="64">
        <v>986746.86434323096</v>
      </c>
      <c r="CD561" s="75"/>
      <c r="CE561" s="6"/>
      <c r="CF561" s="6"/>
    </row>
    <row r="562" spans="1:84" x14ac:dyDescent="0.25">
      <c r="A562" s="105">
        <f t="shared" si="164"/>
        <v>540</v>
      </c>
      <c r="B562" s="107">
        <f t="shared" si="161"/>
        <v>81</v>
      </c>
      <c r="C562" s="53" t="s">
        <v>75</v>
      </c>
      <c r="D562" s="53" t="s">
        <v>572</v>
      </c>
      <c r="E562" s="54">
        <v>1983</v>
      </c>
      <c r="F562" s="54">
        <v>2007</v>
      </c>
      <c r="G562" s="54" t="s">
        <v>64</v>
      </c>
      <c r="H562" s="54">
        <v>5</v>
      </c>
      <c r="I562" s="54">
        <v>3</v>
      </c>
      <c r="J562" s="55">
        <v>5113.2</v>
      </c>
      <c r="K562" s="55">
        <v>4295.2</v>
      </c>
      <c r="L562" s="55">
        <v>0</v>
      </c>
      <c r="M562" s="56">
        <v>187</v>
      </c>
      <c r="N562" s="112">
        <v>4315572.96</v>
      </c>
      <c r="O562" s="55"/>
      <c r="P562" s="63"/>
      <c r="Q562" s="63"/>
      <c r="R562" s="62">
        <v>3028514.54</v>
      </c>
      <c r="S562" s="62">
        <v>1287058.42</v>
      </c>
      <c r="T562" s="63"/>
      <c r="U562" s="63">
        <v>1004.74319164001</v>
      </c>
      <c r="V562" s="63">
        <v>1231.2830200640001</v>
      </c>
      <c r="W562" s="59">
        <v>2024</v>
      </c>
      <c r="X562" s="6" t="e">
        <v>#REF!</v>
      </c>
      <c r="Z562" s="62">
        <f t="shared" si="165"/>
        <v>17280414.083158374</v>
      </c>
      <c r="AA562" s="55">
        <v>10767125.593739299</v>
      </c>
      <c r="AB562" s="55">
        <v>0</v>
      </c>
      <c r="AC562" s="55">
        <v>4113978.3002970801</v>
      </c>
      <c r="AD562" s="55">
        <v>0</v>
      </c>
      <c r="AE562" s="55">
        <v>0</v>
      </c>
      <c r="AF562" s="55"/>
      <c r="AG562" s="55">
        <v>447036.35546105599</v>
      </c>
      <c r="AH562" s="55">
        <v>0</v>
      </c>
      <c r="AI562" s="55">
        <v>0</v>
      </c>
      <c r="AJ562" s="55">
        <v>0</v>
      </c>
      <c r="AK562" s="55">
        <v>0</v>
      </c>
      <c r="AL562" s="55">
        <v>0</v>
      </c>
      <c r="AM562" s="55">
        <v>1444274.3103040699</v>
      </c>
      <c r="AN562" s="63">
        <v>172804.14083158399</v>
      </c>
      <c r="AO562" s="64">
        <v>335195.38252528699</v>
      </c>
      <c r="AP562" s="61">
        <f>+N562-'Приложение №2'!E562</f>
        <v>3.2678423449397087E-3</v>
      </c>
      <c r="AQ562" s="65">
        <v>2568498.62</v>
      </c>
      <c r="AR562" s="3">
        <f>+(K562*10.5+L562*21)*12*0.85</f>
        <v>460015.91999999993</v>
      </c>
      <c r="AS562" s="3">
        <f>+(K562*10.5+L562*21)*12*30</f>
        <v>16235855.999999998</v>
      </c>
      <c r="AT562" s="6">
        <f t="shared" si="166"/>
        <v>-14948797.579999998</v>
      </c>
      <c r="AU562" s="6" t="e">
        <v>#REF!</v>
      </c>
      <c r="AV562" s="6" t="e">
        <v>#REF!</v>
      </c>
      <c r="AW562" s="110">
        <f t="shared" si="162"/>
        <v>4315572.9567321576</v>
      </c>
      <c r="AX562" s="55"/>
      <c r="AY562" s="55">
        <v>0</v>
      </c>
      <c r="AZ562" s="55">
        <v>4223219.6954580899</v>
      </c>
      <c r="BA562" s="55">
        <v>0</v>
      </c>
      <c r="BB562" s="55">
        <v>0</v>
      </c>
      <c r="BC562" s="55"/>
      <c r="BD562" s="55">
        <v>0</v>
      </c>
      <c r="BE562" s="55">
        <v>0</v>
      </c>
      <c r="BF562" s="55">
        <v>0</v>
      </c>
      <c r="BG562" s="55">
        <v>0</v>
      </c>
      <c r="BH562" s="55">
        <v>0</v>
      </c>
      <c r="BI562" s="55">
        <v>0</v>
      </c>
      <c r="BJ562" s="55"/>
      <c r="BK562" s="63"/>
      <c r="BL562" s="64">
        <v>92353.261274068107</v>
      </c>
      <c r="BM562" s="110">
        <f t="shared" si="163"/>
        <v>4315572.9567321576</v>
      </c>
      <c r="BN562" s="55"/>
      <c r="BO562" s="55">
        <v>0</v>
      </c>
      <c r="BP562" s="55">
        <v>4223219.6954580899</v>
      </c>
      <c r="BQ562" s="55">
        <v>0</v>
      </c>
      <c r="BR562" s="55">
        <v>0</v>
      </c>
      <c r="BS562" s="55"/>
      <c r="BT562" s="55">
        <v>0</v>
      </c>
      <c r="BU562" s="55">
        <v>0</v>
      </c>
      <c r="BV562" s="55">
        <v>0</v>
      </c>
      <c r="BW562" s="55">
        <v>0</v>
      </c>
      <c r="BX562" s="55">
        <v>0</v>
      </c>
      <c r="BY562" s="55">
        <v>0</v>
      </c>
      <c r="BZ562" s="55"/>
      <c r="CA562" s="63"/>
      <c r="CB562" s="64">
        <v>92353.261274068107</v>
      </c>
      <c r="CD562" s="75"/>
      <c r="CE562" s="6"/>
    </row>
    <row r="563" spans="1:84" x14ac:dyDescent="0.25">
      <c r="A563" s="105">
        <f t="shared" si="164"/>
        <v>541</v>
      </c>
      <c r="B563" s="107">
        <f t="shared" si="161"/>
        <v>82</v>
      </c>
      <c r="C563" s="53" t="s">
        <v>75</v>
      </c>
      <c r="D563" s="53" t="s">
        <v>573</v>
      </c>
      <c r="E563" s="54">
        <v>1980</v>
      </c>
      <c r="F563" s="54">
        <v>2011</v>
      </c>
      <c r="G563" s="54" t="s">
        <v>64</v>
      </c>
      <c r="H563" s="54">
        <v>5</v>
      </c>
      <c r="I563" s="54">
        <v>6</v>
      </c>
      <c r="J563" s="55">
        <v>6841.9</v>
      </c>
      <c r="K563" s="55">
        <v>5717.4</v>
      </c>
      <c r="L563" s="55">
        <v>467.7</v>
      </c>
      <c r="M563" s="56">
        <v>273</v>
      </c>
      <c r="N563" s="112">
        <v>31196291.719999999</v>
      </c>
      <c r="O563" s="55"/>
      <c r="P563" s="63"/>
      <c r="Q563" s="63"/>
      <c r="R563" s="62">
        <v>4335485.8099999996</v>
      </c>
      <c r="S563" s="62">
        <v>25147584</v>
      </c>
      <c r="T563" s="62">
        <v>1713221.91</v>
      </c>
      <c r="U563" s="63">
        <v>5456.3773251180601</v>
      </c>
      <c r="V563" s="63">
        <v>1232.2830200640001</v>
      </c>
      <c r="W563" s="59">
        <v>2024</v>
      </c>
      <c r="X563" s="6" t="e">
        <v>#REF!</v>
      </c>
      <c r="Z563" s="62">
        <f t="shared" si="165"/>
        <v>28963511.157484781</v>
      </c>
      <c r="AA563" s="55">
        <v>0</v>
      </c>
      <c r="AB563" s="55">
        <v>0</v>
      </c>
      <c r="AC563" s="55">
        <v>0</v>
      </c>
      <c r="AD563" s="55">
        <v>0</v>
      </c>
      <c r="AE563" s="55">
        <v>0</v>
      </c>
      <c r="AF563" s="55"/>
      <c r="AG563" s="55">
        <v>0</v>
      </c>
      <c r="AH563" s="55">
        <v>0</v>
      </c>
      <c r="AI563" s="55">
        <v>0</v>
      </c>
      <c r="AJ563" s="55">
        <v>0</v>
      </c>
      <c r="AK563" s="55">
        <v>25225885.896655999</v>
      </c>
      <c r="AL563" s="55">
        <v>0</v>
      </c>
      <c r="AM563" s="55">
        <v>2896351.11574848</v>
      </c>
      <c r="AN563" s="63">
        <v>289635.11157484801</v>
      </c>
      <c r="AO563" s="64">
        <v>551639.03350545501</v>
      </c>
      <c r="AP563" s="61">
        <f>+N563-'Приложение №2'!E563</f>
        <v>1.370016485452652E-3</v>
      </c>
      <c r="AQ563" s="65">
        <v>3622970.93</v>
      </c>
      <c r="AR563" s="3">
        <f>+(K563*10.5+L563*21)*12*0.85</f>
        <v>712514.87999999989</v>
      </c>
      <c r="AS563" s="3">
        <f>+(K563*10.5+L563*21)*12*30</f>
        <v>25147583.999999996</v>
      </c>
      <c r="AT563" s="6">
        <f t="shared" si="166"/>
        <v>0</v>
      </c>
      <c r="AU563" s="6" t="e">
        <v>#REF!</v>
      </c>
      <c r="AV563" s="6" t="e">
        <v>#REF!</v>
      </c>
      <c r="AW563" s="110">
        <f t="shared" si="162"/>
        <v>31196291.718629982</v>
      </c>
      <c r="AX563" s="55">
        <v>0</v>
      </c>
      <c r="AY563" s="55">
        <v>0</v>
      </c>
      <c r="AZ563" s="55">
        <v>0</v>
      </c>
      <c r="BA563" s="55">
        <v>0</v>
      </c>
      <c r="BB563" s="55">
        <v>0</v>
      </c>
      <c r="BC563" s="55"/>
      <c r="BD563" s="55"/>
      <c r="BE563" s="55">
        <v>0</v>
      </c>
      <c r="BF563" s="55">
        <v>0</v>
      </c>
      <c r="BG563" s="55">
        <v>0</v>
      </c>
      <c r="BH563" s="55">
        <v>30528691.075851299</v>
      </c>
      <c r="BI563" s="55">
        <v>0</v>
      </c>
      <c r="BJ563" s="55"/>
      <c r="BK563" s="63"/>
      <c r="BL563" s="64">
        <v>667600.64277868206</v>
      </c>
      <c r="BM563" s="110">
        <f t="shared" si="163"/>
        <v>31196291.718629982</v>
      </c>
      <c r="BN563" s="55">
        <v>0</v>
      </c>
      <c r="BO563" s="55">
        <v>0</v>
      </c>
      <c r="BP563" s="55">
        <v>0</v>
      </c>
      <c r="BQ563" s="55">
        <v>0</v>
      </c>
      <c r="BR563" s="55">
        <v>0</v>
      </c>
      <c r="BS563" s="55"/>
      <c r="BT563" s="55"/>
      <c r="BU563" s="55">
        <v>0</v>
      </c>
      <c r="BV563" s="55">
        <v>0</v>
      </c>
      <c r="BW563" s="55">
        <v>0</v>
      </c>
      <c r="BX563" s="55">
        <v>30528691.075851299</v>
      </c>
      <c r="BY563" s="55">
        <v>0</v>
      </c>
      <c r="BZ563" s="55"/>
      <c r="CA563" s="63"/>
      <c r="CB563" s="64">
        <v>667600.64277868206</v>
      </c>
      <c r="CD563" s="75"/>
      <c r="CE563" s="6"/>
    </row>
    <row r="564" spans="1:84" x14ac:dyDescent="0.25">
      <c r="A564" s="105">
        <f t="shared" si="164"/>
        <v>542</v>
      </c>
      <c r="B564" s="107">
        <f t="shared" si="161"/>
        <v>83</v>
      </c>
      <c r="C564" s="53" t="s">
        <v>75</v>
      </c>
      <c r="D564" s="53" t="s">
        <v>105</v>
      </c>
      <c r="E564" s="54">
        <v>1987</v>
      </c>
      <c r="F564" s="54">
        <v>2017</v>
      </c>
      <c r="G564" s="54" t="s">
        <v>64</v>
      </c>
      <c r="H564" s="54">
        <v>9</v>
      </c>
      <c r="I564" s="54">
        <v>1</v>
      </c>
      <c r="J564" s="55">
        <v>2767.8</v>
      </c>
      <c r="K564" s="55">
        <v>2150.8000000000002</v>
      </c>
      <c r="L564" s="55">
        <v>66.8</v>
      </c>
      <c r="M564" s="56">
        <v>94</v>
      </c>
      <c r="N564" s="112">
        <v>16519834.060000001</v>
      </c>
      <c r="O564" s="55"/>
      <c r="P564" s="62">
        <v>2937535.55</v>
      </c>
      <c r="Q564" s="63"/>
      <c r="R564" s="62">
        <v>377166.86</v>
      </c>
      <c r="S564" s="62">
        <v>11370052.800000001</v>
      </c>
      <c r="T564" s="62">
        <v>1835078.85</v>
      </c>
      <c r="U564" s="63">
        <v>7680.7857833897397</v>
      </c>
      <c r="V564" s="63">
        <v>1233.2830200640001</v>
      </c>
      <c r="W564" s="59">
        <v>2024</v>
      </c>
      <c r="X564" s="6" t="e">
        <v>#REF!</v>
      </c>
      <c r="Z564" s="62">
        <f t="shared" si="165"/>
        <v>24358296.106563538</v>
      </c>
      <c r="AA564" s="55">
        <v>5322442.2844350599</v>
      </c>
      <c r="AB564" s="55">
        <v>2129484.5377048999</v>
      </c>
      <c r="AC564" s="55">
        <v>0</v>
      </c>
      <c r="AD564" s="55">
        <v>0</v>
      </c>
      <c r="AE564" s="55">
        <v>0</v>
      </c>
      <c r="AF564" s="55"/>
      <c r="AG564" s="55">
        <v>236468.681965311</v>
      </c>
      <c r="AH564" s="55">
        <v>0</v>
      </c>
      <c r="AI564" s="55">
        <v>0</v>
      </c>
      <c r="AJ564" s="55">
        <v>0</v>
      </c>
      <c r="AK564" s="55">
        <v>13665253.1882038</v>
      </c>
      <c r="AL564" s="55">
        <v>0</v>
      </c>
      <c r="AM564" s="55">
        <v>2294103.4047365398</v>
      </c>
      <c r="AN564" s="63">
        <v>243582.961065635</v>
      </c>
      <c r="AO564" s="64">
        <v>466961.04845229199</v>
      </c>
      <c r="AP564" s="61">
        <f>+N564-'Приложение №2'!E564</f>
        <v>-2.9146410524845123E-3</v>
      </c>
      <c r="AQ564" s="6">
        <f>1756247.2-R397</f>
        <v>236255.92556157988</v>
      </c>
      <c r="AR564" s="3">
        <f>+(K564*13.95+L564*23.65)*12*0.85</f>
        <v>322151.49599999998</v>
      </c>
      <c r="AS564" s="3">
        <f>+(K564*13.95+L564*23.65)*12*30</f>
        <v>11370052.800000001</v>
      </c>
      <c r="AT564" s="6">
        <f t="shared" si="166"/>
        <v>0</v>
      </c>
      <c r="AU564" s="6" t="e">
        <v>#REF!</v>
      </c>
      <c r="AV564" s="6" t="e">
        <v>#REF!</v>
      </c>
      <c r="AW564" s="110">
        <f t="shared" si="162"/>
        <v>16519834.062914642</v>
      </c>
      <c r="AX564" s="55"/>
      <c r="AY564" s="55"/>
      <c r="AZ564" s="55"/>
      <c r="BA564" s="55"/>
      <c r="BB564" s="55"/>
      <c r="BC564" s="55"/>
      <c r="BD564" s="55"/>
      <c r="BE564" s="55">
        <v>0</v>
      </c>
      <c r="BF564" s="55">
        <v>0</v>
      </c>
      <c r="BG564" s="55">
        <v>0</v>
      </c>
      <c r="BH564" s="55">
        <v>16225158.4678763</v>
      </c>
      <c r="BI564" s="55">
        <v>0</v>
      </c>
      <c r="BJ564" s="55"/>
      <c r="BK564" s="63"/>
      <c r="BL564" s="64">
        <v>294675.595038342</v>
      </c>
      <c r="BM564" s="110">
        <f t="shared" si="163"/>
        <v>16519834.062914642</v>
      </c>
      <c r="BN564" s="55"/>
      <c r="BO564" s="55"/>
      <c r="BP564" s="55"/>
      <c r="BQ564" s="55"/>
      <c r="BR564" s="55"/>
      <c r="BS564" s="55"/>
      <c r="BT564" s="55"/>
      <c r="BU564" s="55">
        <v>0</v>
      </c>
      <c r="BV564" s="55">
        <v>0</v>
      </c>
      <c r="BW564" s="55">
        <v>0</v>
      </c>
      <c r="BX564" s="55">
        <v>16225158.4678763</v>
      </c>
      <c r="BY564" s="55">
        <v>0</v>
      </c>
      <c r="BZ564" s="55"/>
      <c r="CA564" s="63"/>
      <c r="CB564" s="64">
        <v>294675.595038342</v>
      </c>
      <c r="CD564" s="75"/>
      <c r="CE564" s="6"/>
    </row>
    <row r="565" spans="1:84" x14ac:dyDescent="0.25">
      <c r="A565" s="105">
        <f t="shared" si="164"/>
        <v>543</v>
      </c>
      <c r="B565" s="107">
        <f t="shared" si="161"/>
        <v>84</v>
      </c>
      <c r="C565" s="53" t="s">
        <v>75</v>
      </c>
      <c r="D565" s="53" t="s">
        <v>574</v>
      </c>
      <c r="E565" s="54">
        <v>1987</v>
      </c>
      <c r="F565" s="54">
        <v>2016</v>
      </c>
      <c r="G565" s="54" t="s">
        <v>64</v>
      </c>
      <c r="H565" s="54">
        <v>5</v>
      </c>
      <c r="I565" s="54">
        <v>4</v>
      </c>
      <c r="J565" s="55">
        <v>5859.43</v>
      </c>
      <c r="K565" s="55">
        <v>4644.3999999999996</v>
      </c>
      <c r="L565" s="55">
        <v>278.60000000000002</v>
      </c>
      <c r="M565" s="56">
        <v>182</v>
      </c>
      <c r="N565" s="112">
        <v>10112080.949999999</v>
      </c>
      <c r="O565" s="55"/>
      <c r="P565" s="63"/>
      <c r="Q565" s="63"/>
      <c r="R565" s="62">
        <v>3616546.06</v>
      </c>
      <c r="S565" s="62">
        <v>6495534.8899999997</v>
      </c>
      <c r="T565" s="63"/>
      <c r="U565" s="63">
        <v>2177.2631443432902</v>
      </c>
      <c r="V565" s="63">
        <v>1234.2830200640001</v>
      </c>
      <c r="W565" s="59">
        <v>2024</v>
      </c>
      <c r="X565" s="6" t="e">
        <v>#REF!</v>
      </c>
      <c r="Z565" s="62">
        <f t="shared" si="165"/>
        <v>8468147.293320002</v>
      </c>
      <c r="AA565" s="55">
        <v>0</v>
      </c>
      <c r="AB565" s="55">
        <v>0</v>
      </c>
      <c r="AC565" s="55">
        <v>0</v>
      </c>
      <c r="AD565" s="55">
        <v>0</v>
      </c>
      <c r="AE565" s="55">
        <v>0</v>
      </c>
      <c r="AF565" s="55"/>
      <c r="AG565" s="55">
        <v>0</v>
      </c>
      <c r="AH565" s="55">
        <v>0</v>
      </c>
      <c r="AI565" s="55">
        <v>0</v>
      </c>
      <c r="AJ565" s="55">
        <v>7375366.7577062296</v>
      </c>
      <c r="AK565" s="55">
        <v>0</v>
      </c>
      <c r="AL565" s="55">
        <v>0</v>
      </c>
      <c r="AM565" s="55">
        <v>846814.72933200002</v>
      </c>
      <c r="AN565" s="63">
        <v>84681.472933199999</v>
      </c>
      <c r="AO565" s="64">
        <v>161284.33334857301</v>
      </c>
      <c r="AP565" s="61">
        <f>+N565-'Приложение №2'!E565</f>
        <v>2.4120155721902847E-3</v>
      </c>
      <c r="AQ565" s="65">
        <v>3059454.7</v>
      </c>
      <c r="AR565" s="3">
        <f>+(K565*10.5+L565*21)*12*0.85</f>
        <v>557091.36</v>
      </c>
      <c r="AS565" s="3">
        <f>+(K565*10.5+L565*21)*12*30</f>
        <v>19662048</v>
      </c>
      <c r="AT565" s="6">
        <f t="shared" si="166"/>
        <v>-13166513.109999999</v>
      </c>
      <c r="AU565" s="6" t="e">
        <v>#REF!</v>
      </c>
      <c r="AV565" s="6" t="e">
        <v>#REF!</v>
      </c>
      <c r="AW565" s="110">
        <f t="shared" si="162"/>
        <v>10112080.947587984</v>
      </c>
      <c r="AX565" s="55">
        <v>0</v>
      </c>
      <c r="AY565" s="55">
        <v>0</v>
      </c>
      <c r="AZ565" s="55">
        <v>0</v>
      </c>
      <c r="BA565" s="55">
        <v>0</v>
      </c>
      <c r="BB565" s="55">
        <v>0</v>
      </c>
      <c r="BC565" s="55"/>
      <c r="BD565" s="55"/>
      <c r="BE565" s="55">
        <v>0</v>
      </c>
      <c r="BF565" s="55">
        <v>0</v>
      </c>
      <c r="BG565" s="55">
        <v>9895682.4153096005</v>
      </c>
      <c r="BH565" s="55">
        <v>0</v>
      </c>
      <c r="BI565" s="55">
        <v>0</v>
      </c>
      <c r="BJ565" s="55"/>
      <c r="BK565" s="63"/>
      <c r="BL565" s="64">
        <v>216398.53227838301</v>
      </c>
      <c r="BM565" s="110">
        <f t="shared" si="163"/>
        <v>10112080.947587984</v>
      </c>
      <c r="BN565" s="55">
        <v>0</v>
      </c>
      <c r="BO565" s="55">
        <v>0</v>
      </c>
      <c r="BP565" s="55">
        <v>0</v>
      </c>
      <c r="BQ565" s="55">
        <v>0</v>
      </c>
      <c r="BR565" s="55">
        <v>0</v>
      </c>
      <c r="BS565" s="55"/>
      <c r="BT565" s="55"/>
      <c r="BU565" s="55">
        <v>0</v>
      </c>
      <c r="BV565" s="55">
        <v>0</v>
      </c>
      <c r="BW565" s="55">
        <v>9895682.4153096005</v>
      </c>
      <c r="BX565" s="55">
        <v>0</v>
      </c>
      <c r="BY565" s="55">
        <v>0</v>
      </c>
      <c r="BZ565" s="55"/>
      <c r="CA565" s="63"/>
      <c r="CB565" s="64">
        <v>216398.53227838301</v>
      </c>
      <c r="CD565" s="75"/>
      <c r="CE565" s="6"/>
    </row>
    <row r="566" spans="1:84" x14ac:dyDescent="0.25">
      <c r="A566" s="105">
        <f t="shared" si="164"/>
        <v>544</v>
      </c>
      <c r="B566" s="107">
        <f t="shared" si="161"/>
        <v>85</v>
      </c>
      <c r="C566" s="53" t="s">
        <v>75</v>
      </c>
      <c r="D566" s="53" t="s">
        <v>309</v>
      </c>
      <c r="E566" s="54">
        <v>1987</v>
      </c>
      <c r="F566" s="54">
        <v>2016</v>
      </c>
      <c r="G566" s="54" t="s">
        <v>64</v>
      </c>
      <c r="H566" s="54">
        <v>5</v>
      </c>
      <c r="I566" s="54">
        <v>5</v>
      </c>
      <c r="J566" s="55">
        <v>7155.6</v>
      </c>
      <c r="K566" s="55">
        <v>5789.5</v>
      </c>
      <c r="L566" s="55">
        <v>194.7</v>
      </c>
      <c r="M566" s="56">
        <v>243</v>
      </c>
      <c r="N566" s="112">
        <v>18806450.390000001</v>
      </c>
      <c r="O566" s="55"/>
      <c r="P566" s="62">
        <v>1111754.1499999999</v>
      </c>
      <c r="Q566" s="63"/>
      <c r="R566" s="62">
        <v>661760.18999999994</v>
      </c>
      <c r="S566" s="62">
        <v>4044048.01</v>
      </c>
      <c r="T566" s="62">
        <v>12988888.039999999</v>
      </c>
      <c r="U566" s="63">
        <v>3248.37212020894</v>
      </c>
      <c r="V566" s="63">
        <v>1235.2830200640001</v>
      </c>
      <c r="W566" s="59">
        <v>2024</v>
      </c>
      <c r="X566" s="6" t="e">
        <v>#REF!</v>
      </c>
      <c r="Z566" s="62">
        <f t="shared" si="165"/>
        <v>41277450.38367226</v>
      </c>
      <c r="AA566" s="55">
        <v>11858561.0386538</v>
      </c>
      <c r="AB566" s="55">
        <v>0</v>
      </c>
      <c r="AC566" s="55">
        <v>0</v>
      </c>
      <c r="AD566" s="55">
        <v>4785667.37036476</v>
      </c>
      <c r="AE566" s="55">
        <v>0</v>
      </c>
      <c r="AF566" s="55"/>
      <c r="AG566" s="55">
        <v>0</v>
      </c>
      <c r="AH566" s="55">
        <v>0</v>
      </c>
      <c r="AI566" s="55">
        <v>19618197.919447601</v>
      </c>
      <c r="AJ566" s="55">
        <v>0</v>
      </c>
      <c r="AK566" s="55">
        <v>0</v>
      </c>
      <c r="AL566" s="55">
        <v>0</v>
      </c>
      <c r="AM566" s="55">
        <v>3809263.7313927002</v>
      </c>
      <c r="AN566" s="63">
        <v>412774.50383672299</v>
      </c>
      <c r="AO566" s="64">
        <v>792985.81997667695</v>
      </c>
      <c r="AP566" s="61">
        <f>+N566-'Приложение №2'!E566</f>
        <v>5.0339847803115845E-5</v>
      </c>
      <c r="AQ566" s="65">
        <f>3643194.21-R223</f>
        <v>1386981.7999999998</v>
      </c>
      <c r="AR566" s="3">
        <f>+(K566*10.5+L566*21)*12*0.85</f>
        <v>661760.18999999994</v>
      </c>
      <c r="AS566" s="3">
        <f>+(K566*10.5+L566*21)*12*30-S223</f>
        <v>15799232.279999997</v>
      </c>
      <c r="AT566" s="6">
        <f t="shared" si="166"/>
        <v>-11755184.269999998</v>
      </c>
      <c r="AU566" s="6" t="e">
        <v>#REF!</v>
      </c>
      <c r="AV566" s="6" t="e">
        <v>#REF!</v>
      </c>
      <c r="AW566" s="110">
        <f t="shared" si="162"/>
        <v>18806450.389949661</v>
      </c>
      <c r="AX566" s="55"/>
      <c r="AY566" s="55">
        <v>0</v>
      </c>
      <c r="AZ566" s="55">
        <v>0</v>
      </c>
      <c r="BA566" s="55">
        <v>5691095.7505916599</v>
      </c>
      <c r="BB566" s="55">
        <v>0</v>
      </c>
      <c r="BC566" s="55"/>
      <c r="BD566" s="55"/>
      <c r="BE566" s="55">
        <v>0</v>
      </c>
      <c r="BF566" s="55"/>
      <c r="BG566" s="55">
        <v>12028791.937781001</v>
      </c>
      <c r="BH566" s="55">
        <v>0</v>
      </c>
      <c r="BI566" s="55">
        <v>0</v>
      </c>
      <c r="BJ566" s="55"/>
      <c r="BK566" s="63"/>
      <c r="BL566" s="64">
        <v>1086562.7015770001</v>
      </c>
      <c r="BM566" s="110">
        <f t="shared" si="163"/>
        <v>18806450.389949661</v>
      </c>
      <c r="BN566" s="55"/>
      <c r="BO566" s="55">
        <v>0</v>
      </c>
      <c r="BP566" s="55">
        <v>0</v>
      </c>
      <c r="BQ566" s="55">
        <v>5691095.7505916599</v>
      </c>
      <c r="BR566" s="55">
        <v>0</v>
      </c>
      <c r="BS566" s="55"/>
      <c r="BT566" s="55"/>
      <c r="BU566" s="55">
        <v>0</v>
      </c>
      <c r="BV566" s="55"/>
      <c r="BW566" s="55">
        <v>12028791.937781001</v>
      </c>
      <c r="BX566" s="55">
        <v>0</v>
      </c>
      <c r="BY566" s="55">
        <v>0</v>
      </c>
      <c r="BZ566" s="55"/>
      <c r="CA566" s="63"/>
      <c r="CB566" s="64">
        <v>1086562.7015770001</v>
      </c>
      <c r="CD566" s="75"/>
      <c r="CE566" s="6"/>
    </row>
    <row r="567" spans="1:84" x14ac:dyDescent="0.25">
      <c r="A567" s="105">
        <f t="shared" si="164"/>
        <v>545</v>
      </c>
      <c r="B567" s="107">
        <f t="shared" si="161"/>
        <v>86</v>
      </c>
      <c r="C567" s="53" t="s">
        <v>75</v>
      </c>
      <c r="D567" s="53" t="s">
        <v>311</v>
      </c>
      <c r="E567" s="54">
        <v>1993</v>
      </c>
      <c r="F567" s="54">
        <v>1993</v>
      </c>
      <c r="G567" s="54" t="s">
        <v>64</v>
      </c>
      <c r="H567" s="54">
        <v>5</v>
      </c>
      <c r="I567" s="54">
        <v>3</v>
      </c>
      <c r="J567" s="55">
        <v>2627.7</v>
      </c>
      <c r="K567" s="55">
        <v>2328</v>
      </c>
      <c r="L567" s="55">
        <v>0</v>
      </c>
      <c r="M567" s="56">
        <v>101</v>
      </c>
      <c r="N567" s="112">
        <v>955663.29</v>
      </c>
      <c r="O567" s="55"/>
      <c r="P567" s="63"/>
      <c r="Q567" s="63"/>
      <c r="R567" s="62">
        <v>955663.29</v>
      </c>
      <c r="S567" s="63"/>
      <c r="T567" s="63"/>
      <c r="U567" s="63">
        <v>2251.35944975759</v>
      </c>
      <c r="V567" s="63">
        <v>2251.35944975759</v>
      </c>
      <c r="W567" s="59">
        <v>2024</v>
      </c>
      <c r="X567" s="6" t="e">
        <v>#REF!</v>
      </c>
      <c r="Z567" s="62">
        <f t="shared" si="165"/>
        <v>2025910.3767552015</v>
      </c>
      <c r="AA567" s="55">
        <v>0</v>
      </c>
      <c r="AB567" s="55">
        <v>0</v>
      </c>
      <c r="AC567" s="55">
        <v>1764474.7462764501</v>
      </c>
      <c r="AD567" s="55">
        <v>0</v>
      </c>
      <c r="AE567" s="55">
        <v>0</v>
      </c>
      <c r="AF567" s="55"/>
      <c r="AG567" s="55">
        <v>0</v>
      </c>
      <c r="AH567" s="55">
        <v>0</v>
      </c>
      <c r="AI567" s="55">
        <v>0</v>
      </c>
      <c r="AJ567" s="55">
        <v>0</v>
      </c>
      <c r="AK567" s="55">
        <v>0</v>
      </c>
      <c r="AL567" s="55">
        <v>0</v>
      </c>
      <c r="AM567" s="55">
        <v>202591.03767552</v>
      </c>
      <c r="AN567" s="63">
        <v>20259.103767551998</v>
      </c>
      <c r="AO567" s="64">
        <v>38585.4890356795</v>
      </c>
      <c r="AP567" s="61">
        <f>+N567-'Приложение №2'!E567</f>
        <v>9.6432049758732319E-4</v>
      </c>
      <c r="AQ567" s="65">
        <v>1113195.26</v>
      </c>
      <c r="AR567" s="3">
        <f>+(K567*10+L567*20)*12*0.85</f>
        <v>237456</v>
      </c>
      <c r="AS567" s="3">
        <f>+(K567*10+L567*20)*12*30</f>
        <v>8380800</v>
      </c>
      <c r="AT567" s="6">
        <f t="shared" si="166"/>
        <v>-8380800</v>
      </c>
      <c r="AU567" s="6"/>
      <c r="AV567" s="6"/>
      <c r="AW567" s="110">
        <f t="shared" si="162"/>
        <v>5241164.7990356795</v>
      </c>
      <c r="AX567" s="55">
        <v>0</v>
      </c>
      <c r="AY567" s="55">
        <v>0</v>
      </c>
      <c r="AZ567" s="55">
        <v>917077.8</v>
      </c>
      <c r="BA567" s="55">
        <v>0</v>
      </c>
      <c r="BB567" s="55">
        <v>0</v>
      </c>
      <c r="BC567" s="55"/>
      <c r="BD567" s="55"/>
      <c r="BE567" s="55">
        <v>0</v>
      </c>
      <c r="BF567" s="55">
        <v>0</v>
      </c>
      <c r="BG567" s="55">
        <v>4285501.51</v>
      </c>
      <c r="BH567" s="55">
        <v>0</v>
      </c>
      <c r="BI567" s="55">
        <v>0</v>
      </c>
      <c r="BJ567" s="55"/>
      <c r="BK567" s="63"/>
      <c r="BL567" s="64">
        <v>38585.4890356795</v>
      </c>
      <c r="BM567" s="110">
        <f t="shared" si="163"/>
        <v>5241164.7990356795</v>
      </c>
      <c r="BN567" s="55">
        <v>0</v>
      </c>
      <c r="BO567" s="55">
        <v>0</v>
      </c>
      <c r="BP567" s="55">
        <v>917077.8</v>
      </c>
      <c r="BQ567" s="55">
        <v>0</v>
      </c>
      <c r="BR567" s="55">
        <v>0</v>
      </c>
      <c r="BS567" s="55"/>
      <c r="BT567" s="55"/>
      <c r="BU567" s="55">
        <v>0</v>
      </c>
      <c r="BV567" s="55">
        <v>0</v>
      </c>
      <c r="BW567" s="55">
        <v>4285501.51</v>
      </c>
      <c r="BX567" s="55">
        <v>0</v>
      </c>
      <c r="BY567" s="55">
        <v>0</v>
      </c>
      <c r="BZ567" s="55"/>
      <c r="CA567" s="63"/>
      <c r="CB567" s="64">
        <v>38585.4890356795</v>
      </c>
      <c r="CD567" s="75"/>
      <c r="CE567" s="6"/>
    </row>
    <row r="568" spans="1:84" x14ac:dyDescent="0.25">
      <c r="A568" s="105">
        <f t="shared" si="164"/>
        <v>546</v>
      </c>
      <c r="B568" s="107">
        <f t="shared" si="161"/>
        <v>87</v>
      </c>
      <c r="C568" s="172" t="s">
        <v>75</v>
      </c>
      <c r="D568" s="172" t="s">
        <v>312</v>
      </c>
      <c r="E568" s="173">
        <v>1987</v>
      </c>
      <c r="F568" s="173">
        <v>2013</v>
      </c>
      <c r="G568" s="173" t="s">
        <v>64</v>
      </c>
      <c r="H568" s="173">
        <v>5</v>
      </c>
      <c r="I568" s="173">
        <v>6</v>
      </c>
      <c r="J568" s="122">
        <v>5156.5</v>
      </c>
      <c r="K568" s="122">
        <v>4643.1499999999996</v>
      </c>
      <c r="L568" s="122">
        <v>0</v>
      </c>
      <c r="M568" s="174">
        <v>198</v>
      </c>
      <c r="N568" s="175">
        <v>3896493.69</v>
      </c>
      <c r="O568" s="122"/>
      <c r="P568" s="123"/>
      <c r="Q568" s="123"/>
      <c r="R568" s="110">
        <v>2589978.34</v>
      </c>
      <c r="S568" s="110">
        <v>1306515.3500000001</v>
      </c>
      <c r="T568" s="123"/>
      <c r="U568" s="122">
        <v>3983.9674421835298</v>
      </c>
      <c r="V568" s="122">
        <v>3983.9674421835298</v>
      </c>
      <c r="W568" s="59">
        <v>2024</v>
      </c>
      <c r="X568" s="6" t="e">
        <v>#REF!</v>
      </c>
      <c r="Z568" s="110">
        <f t="shared" si="165"/>
        <v>19097413.753508821</v>
      </c>
      <c r="AA568" s="122">
        <v>9161875.3142818194</v>
      </c>
      <c r="AB568" s="122">
        <v>0</v>
      </c>
      <c r="AC568" s="122">
        <v>3500633.0988559499</v>
      </c>
      <c r="AD568" s="122">
        <v>3697386.8583204099</v>
      </c>
      <c r="AE568" s="122">
        <v>0</v>
      </c>
      <c r="AF568" s="122"/>
      <c r="AG568" s="122">
        <v>380388.55533241399</v>
      </c>
      <c r="AH568" s="122">
        <v>0</v>
      </c>
      <c r="AI568" s="122">
        <v>0</v>
      </c>
      <c r="AJ568" s="122">
        <v>0</v>
      </c>
      <c r="AK568" s="122">
        <v>0</v>
      </c>
      <c r="AL568" s="122">
        <v>0</v>
      </c>
      <c r="AM568" s="122">
        <v>1800079.6866966099</v>
      </c>
      <c r="AN568" s="123">
        <v>190974.137535088</v>
      </c>
      <c r="AO568" s="124">
        <v>366076.10248653003</v>
      </c>
      <c r="AP568" s="61">
        <f>+N568-'Приложение №2'!E564</f>
        <v>-12623340.372914642</v>
      </c>
      <c r="AQ568" s="1">
        <v>2116377.04</v>
      </c>
      <c r="AR568" s="3">
        <f>+(K568*10+L568*20)*12*0.85</f>
        <v>473601.3</v>
      </c>
      <c r="AS568" s="3">
        <f>+(K568*10+L568*20)*12*30</f>
        <v>16715340</v>
      </c>
      <c r="AT568" s="6">
        <f t="shared" si="166"/>
        <v>-15408824.65</v>
      </c>
      <c r="AU568" s="6" t="e">
        <v>#REF!</v>
      </c>
      <c r="AV568" s="6" t="e">
        <v>#REF!</v>
      </c>
      <c r="AW568" s="110">
        <f t="shared" si="162"/>
        <v>18498158.42917446</v>
      </c>
      <c r="AX568" s="122">
        <v>9987277.6916511394</v>
      </c>
      <c r="AY568" s="122">
        <v>0</v>
      </c>
      <c r="AZ568" s="122">
        <v>3500633.0988559499</v>
      </c>
      <c r="BA568" s="122">
        <v>4233998.4929506201</v>
      </c>
      <c r="BB568" s="122">
        <v>0</v>
      </c>
      <c r="BC568" s="122"/>
      <c r="BD568" s="122">
        <v>380388.55533241399</v>
      </c>
      <c r="BE568" s="122">
        <v>0</v>
      </c>
      <c r="BF568" s="122">
        <v>0</v>
      </c>
      <c r="BG568" s="122">
        <v>0</v>
      </c>
      <c r="BH568" s="122">
        <v>0</v>
      </c>
      <c r="BI568" s="122">
        <v>0</v>
      </c>
      <c r="BJ568" s="122"/>
      <c r="BK568" s="123"/>
      <c r="BL568" s="125">
        <v>395860.59038433299</v>
      </c>
      <c r="BM568" s="62">
        <f t="shared" si="163"/>
        <v>14129193.324572697</v>
      </c>
      <c r="BN568" s="55">
        <v>6213317.0199999996</v>
      </c>
      <c r="BO568" s="55">
        <v>0</v>
      </c>
      <c r="BP568" s="55">
        <v>3500633.0988559499</v>
      </c>
      <c r="BQ568" s="55">
        <v>3638994.06</v>
      </c>
      <c r="BR568" s="55">
        <v>0</v>
      </c>
      <c r="BS568" s="55"/>
      <c r="BT568" s="55">
        <v>380388.55533241399</v>
      </c>
      <c r="BU568" s="55">
        <v>0</v>
      </c>
      <c r="BV568" s="55">
        <v>0</v>
      </c>
      <c r="BW568" s="55">
        <v>0</v>
      </c>
      <c r="BX568" s="55">
        <v>0</v>
      </c>
      <c r="BY568" s="55">
        <v>0</v>
      </c>
      <c r="BZ568" s="55"/>
      <c r="CA568" s="63"/>
      <c r="CB568" s="64">
        <v>395860.59038433299</v>
      </c>
      <c r="CD568" s="75"/>
      <c r="CE568" s="6"/>
    </row>
    <row r="569" spans="1:84" x14ac:dyDescent="0.25">
      <c r="A569" s="105">
        <f t="shared" si="164"/>
        <v>547</v>
      </c>
      <c r="B569" s="107">
        <f t="shared" si="161"/>
        <v>88</v>
      </c>
      <c r="C569" s="53" t="s">
        <v>75</v>
      </c>
      <c r="D569" s="53" t="s">
        <v>575</v>
      </c>
      <c r="E569" s="54">
        <v>1995</v>
      </c>
      <c r="F569" s="54">
        <v>1995</v>
      </c>
      <c r="G569" s="54" t="s">
        <v>64</v>
      </c>
      <c r="H569" s="54">
        <v>5</v>
      </c>
      <c r="I569" s="54">
        <v>6</v>
      </c>
      <c r="J569" s="55">
        <v>5276.5</v>
      </c>
      <c r="K569" s="55">
        <v>4687.3999999999996</v>
      </c>
      <c r="L569" s="55">
        <v>0</v>
      </c>
      <c r="M569" s="56">
        <v>200</v>
      </c>
      <c r="N569" s="112">
        <v>4709633.24</v>
      </c>
      <c r="O569" s="55"/>
      <c r="P569" s="63"/>
      <c r="Q569" s="63"/>
      <c r="R569" s="62">
        <v>3190858.55</v>
      </c>
      <c r="S569" s="62">
        <v>1518774.69</v>
      </c>
      <c r="T569" s="63"/>
      <c r="U569" s="63">
        <v>1004.74319164001</v>
      </c>
      <c r="V569" s="63">
        <v>1236.2830200640001</v>
      </c>
      <c r="W569" s="59">
        <v>2024</v>
      </c>
      <c r="X569" s="6" t="e">
        <v>#REF!</v>
      </c>
      <c r="Z569" s="62">
        <f t="shared" si="165"/>
        <v>26420103.173131179</v>
      </c>
      <c r="AA569" s="55">
        <v>0</v>
      </c>
      <c r="AB569" s="55">
        <v>0</v>
      </c>
      <c r="AC569" s="55">
        <v>3550073.2194016902</v>
      </c>
      <c r="AD569" s="55">
        <v>0</v>
      </c>
      <c r="AE569" s="55">
        <v>0</v>
      </c>
      <c r="AF569" s="55"/>
      <c r="AG569" s="55">
        <v>0</v>
      </c>
      <c r="AH569" s="55">
        <v>0</v>
      </c>
      <c r="AI569" s="55">
        <v>0</v>
      </c>
      <c r="AJ569" s="55">
        <v>0</v>
      </c>
      <c r="AK569" s="55">
        <v>19460621.319649599</v>
      </c>
      <c r="AL569" s="55">
        <v>0</v>
      </c>
      <c r="AM569" s="55">
        <v>2642010.3173131198</v>
      </c>
      <c r="AN569" s="63">
        <v>264201.03173131199</v>
      </c>
      <c r="AO569" s="64">
        <v>503197.285035457</v>
      </c>
      <c r="AP569" s="61">
        <f>+N569-'Приложение №2'!E569</f>
        <v>3.5066418349742889E-3</v>
      </c>
      <c r="AQ569" s="65">
        <v>2688838.01</v>
      </c>
      <c r="AR569" s="3">
        <f>+(K569*10.5+L569*21)*12*0.85</f>
        <v>502020.53999999992</v>
      </c>
      <c r="AS569" s="3">
        <f>+(K569*10.5+L569*21)*12*30</f>
        <v>17718371.999999996</v>
      </c>
      <c r="AT569" s="6">
        <f t="shared" si="166"/>
        <v>-16199597.309999997</v>
      </c>
      <c r="AU569" s="6" t="e">
        <v>#REF!</v>
      </c>
      <c r="AV569" s="6" t="e">
        <v>#REF!</v>
      </c>
      <c r="AW569" s="110">
        <f t="shared" si="162"/>
        <v>4709633.2364933584</v>
      </c>
      <c r="AX569" s="55">
        <v>0</v>
      </c>
      <c r="AY569" s="55">
        <v>0</v>
      </c>
      <c r="AZ569" s="55">
        <v>4608847.0852324003</v>
      </c>
      <c r="BA569" s="55">
        <v>0</v>
      </c>
      <c r="BB569" s="55">
        <v>0</v>
      </c>
      <c r="BC569" s="55"/>
      <c r="BD569" s="55"/>
      <c r="BE569" s="55">
        <v>0</v>
      </c>
      <c r="BF569" s="55">
        <v>0</v>
      </c>
      <c r="BG569" s="55">
        <v>0</v>
      </c>
      <c r="BH569" s="55"/>
      <c r="BI569" s="55">
        <v>0</v>
      </c>
      <c r="BJ569" s="55"/>
      <c r="BK569" s="63"/>
      <c r="BL569" s="64">
        <v>100786.15126095799</v>
      </c>
      <c r="BM569" s="110">
        <f t="shared" si="163"/>
        <v>4709633.2364933584</v>
      </c>
      <c r="BN569" s="55">
        <v>0</v>
      </c>
      <c r="BO569" s="55">
        <v>0</v>
      </c>
      <c r="BP569" s="55">
        <v>4608847.0852324003</v>
      </c>
      <c r="BQ569" s="55">
        <v>0</v>
      </c>
      <c r="BR569" s="55">
        <v>0</v>
      </c>
      <c r="BS569" s="55"/>
      <c r="BT569" s="55"/>
      <c r="BU569" s="55">
        <v>0</v>
      </c>
      <c r="BV569" s="55">
        <v>0</v>
      </c>
      <c r="BW569" s="55">
        <v>0</v>
      </c>
      <c r="BX569" s="55"/>
      <c r="BY569" s="55">
        <v>0</v>
      </c>
      <c r="BZ569" s="55"/>
      <c r="CA569" s="63"/>
      <c r="CB569" s="64">
        <v>100786.15126095799</v>
      </c>
      <c r="CD569" s="75"/>
      <c r="CE569" s="6"/>
    </row>
    <row r="570" spans="1:84" x14ac:dyDescent="0.25">
      <c r="A570" s="105">
        <f t="shared" si="164"/>
        <v>548</v>
      </c>
      <c r="B570" s="107">
        <f t="shared" si="161"/>
        <v>89</v>
      </c>
      <c r="C570" s="53" t="s">
        <v>75</v>
      </c>
      <c r="D570" s="53" t="s">
        <v>313</v>
      </c>
      <c r="E570" s="54">
        <v>1987</v>
      </c>
      <c r="F570" s="54">
        <v>2008</v>
      </c>
      <c r="G570" s="54" t="s">
        <v>64</v>
      </c>
      <c r="H570" s="54">
        <v>5</v>
      </c>
      <c r="I570" s="54">
        <v>6</v>
      </c>
      <c r="J570" s="55">
        <v>5142.3999999999996</v>
      </c>
      <c r="K570" s="55">
        <v>4585</v>
      </c>
      <c r="L570" s="55">
        <v>0</v>
      </c>
      <c r="M570" s="56">
        <v>184</v>
      </c>
      <c r="N570" s="112">
        <v>3864534</v>
      </c>
      <c r="O570" s="55"/>
      <c r="P570" s="63"/>
      <c r="Q570" s="63"/>
      <c r="R570" s="63"/>
      <c r="S570" s="62">
        <v>3864534</v>
      </c>
      <c r="T570" s="63"/>
      <c r="U570" s="55">
        <v>842.86455894728499</v>
      </c>
      <c r="V570" s="55">
        <v>842.86455894728499</v>
      </c>
      <c r="W570" s="59">
        <v>2024</v>
      </c>
      <c r="X570" s="6" t="e">
        <v>#REF!</v>
      </c>
      <c r="Z570" s="62">
        <f t="shared" si="165"/>
        <v>18940870.804019678</v>
      </c>
      <c r="AA570" s="55">
        <v>9086774.7272043694</v>
      </c>
      <c r="AB570" s="55">
        <v>0</v>
      </c>
      <c r="AC570" s="55">
        <v>3471938.1437459402</v>
      </c>
      <c r="AD570" s="55">
        <v>3667079.0977160502</v>
      </c>
      <c r="AE570" s="55">
        <v>0</v>
      </c>
      <c r="AF570" s="55"/>
      <c r="AG570" s="55">
        <v>377270.48148366</v>
      </c>
      <c r="AH570" s="55">
        <v>0</v>
      </c>
      <c r="AI570" s="55">
        <v>0</v>
      </c>
      <c r="AJ570" s="55">
        <v>0</v>
      </c>
      <c r="AK570" s="55">
        <v>0</v>
      </c>
      <c r="AL570" s="55">
        <v>0</v>
      </c>
      <c r="AM570" s="55">
        <v>1785324.2969298</v>
      </c>
      <c r="AN570" s="63">
        <v>189408.708040197</v>
      </c>
      <c r="AO570" s="64">
        <v>363075.34889966302</v>
      </c>
      <c r="AP570" s="61">
        <f>+N570-'Приложение №2'!E570</f>
        <v>-2.77330307289958E-3</v>
      </c>
      <c r="AQ570" s="6">
        <f>2190820.19-R227</f>
        <v>1012699.6099999999</v>
      </c>
      <c r="AR570" s="3">
        <f>+(K570*10+L570*20)*12*0.85</f>
        <v>467670</v>
      </c>
      <c r="AS570" s="3">
        <f>+(K570*10+L570*20)*12*30-S227</f>
        <v>7542527.4309726395</v>
      </c>
      <c r="AT570" s="6">
        <f t="shared" si="166"/>
        <v>-3677993.4309726395</v>
      </c>
      <c r="AU570" s="6" t="e">
        <v>#REF!</v>
      </c>
      <c r="AV570" s="6" t="e">
        <v>#REF!</v>
      </c>
      <c r="AW570" s="62">
        <f t="shared" si="162"/>
        <v>3864534.0027733031</v>
      </c>
      <c r="AX570" s="55"/>
      <c r="AY570" s="55">
        <v>0</v>
      </c>
      <c r="AZ570" s="55">
        <v>3471938.1437459402</v>
      </c>
      <c r="BA570" s="55"/>
      <c r="BB570" s="55">
        <v>0</v>
      </c>
      <c r="BC570" s="55"/>
      <c r="BD570" s="55"/>
      <c r="BE570" s="55">
        <v>0</v>
      </c>
      <c r="BF570" s="55">
        <v>0</v>
      </c>
      <c r="BG570" s="55">
        <v>0</v>
      </c>
      <c r="BH570" s="55">
        <v>0</v>
      </c>
      <c r="BI570" s="55">
        <v>0</v>
      </c>
      <c r="BJ570" s="55"/>
      <c r="BK570" s="63"/>
      <c r="BL570" s="64">
        <v>392595.85902736301</v>
      </c>
      <c r="BM570" s="62">
        <f t="shared" si="163"/>
        <v>3864534.0027733031</v>
      </c>
      <c r="BN570" s="55"/>
      <c r="BO570" s="55">
        <v>0</v>
      </c>
      <c r="BP570" s="55">
        <v>3471938.1437459402</v>
      </c>
      <c r="BQ570" s="55"/>
      <c r="BR570" s="55">
        <v>0</v>
      </c>
      <c r="BS570" s="55"/>
      <c r="BT570" s="55"/>
      <c r="BU570" s="55">
        <v>0</v>
      </c>
      <c r="BV570" s="55">
        <v>0</v>
      </c>
      <c r="BW570" s="55">
        <v>0</v>
      </c>
      <c r="BX570" s="55">
        <v>0</v>
      </c>
      <c r="BY570" s="55">
        <v>0</v>
      </c>
      <c r="BZ570" s="55"/>
      <c r="CA570" s="63"/>
      <c r="CB570" s="64">
        <v>392595.85902736301</v>
      </c>
      <c r="CD570" s="75"/>
      <c r="CE570" s="6"/>
    </row>
    <row r="571" spans="1:84" x14ac:dyDescent="0.25">
      <c r="A571" s="105">
        <f t="shared" si="164"/>
        <v>549</v>
      </c>
      <c r="B571" s="107">
        <f t="shared" si="161"/>
        <v>90</v>
      </c>
      <c r="C571" s="53" t="s">
        <v>75</v>
      </c>
      <c r="D571" s="53" t="s">
        <v>314</v>
      </c>
      <c r="E571" s="54">
        <v>1988</v>
      </c>
      <c r="F571" s="54">
        <v>2008</v>
      </c>
      <c r="G571" s="54" t="s">
        <v>64</v>
      </c>
      <c r="H571" s="54">
        <v>5</v>
      </c>
      <c r="I571" s="54">
        <v>6</v>
      </c>
      <c r="J571" s="55">
        <v>5139.5</v>
      </c>
      <c r="K571" s="55">
        <v>4552.6000000000004</v>
      </c>
      <c r="L571" s="55">
        <v>68.400000000000006</v>
      </c>
      <c r="M571" s="56">
        <v>203</v>
      </c>
      <c r="N571" s="112">
        <v>3869781.67</v>
      </c>
      <c r="O571" s="55"/>
      <c r="P571" s="63"/>
      <c r="Q571" s="63"/>
      <c r="R571" s="63"/>
      <c r="S571" s="62">
        <v>3869781.67</v>
      </c>
      <c r="T571" s="63"/>
      <c r="U571" s="55">
        <v>837.43381746325701</v>
      </c>
      <c r="V571" s="55">
        <v>837.43381746325701</v>
      </c>
      <c r="W571" s="59">
        <v>2024</v>
      </c>
      <c r="X571" s="6" t="e">
        <v>#REF!</v>
      </c>
      <c r="Z571" s="62">
        <f t="shared" si="165"/>
        <v>19009395.42381734</v>
      </c>
      <c r="AA571" s="55">
        <v>9139483.8463669103</v>
      </c>
      <c r="AB571" s="55">
        <v>0</v>
      </c>
      <c r="AC571" s="55">
        <v>3475648.0455939299</v>
      </c>
      <c r="AD571" s="55">
        <v>3670997.5153139699</v>
      </c>
      <c r="AE571" s="55">
        <v>0</v>
      </c>
      <c r="AF571" s="55"/>
      <c r="AG571" s="55">
        <v>377673.60976489802</v>
      </c>
      <c r="AH571" s="55">
        <v>0</v>
      </c>
      <c r="AI571" s="55">
        <v>0</v>
      </c>
      <c r="AJ571" s="55">
        <v>0</v>
      </c>
      <c r="AK571" s="55">
        <v>0</v>
      </c>
      <c r="AL571" s="55">
        <v>0</v>
      </c>
      <c r="AM571" s="55">
        <v>1791094.8304623601</v>
      </c>
      <c r="AN571" s="63">
        <v>190093.954238173</v>
      </c>
      <c r="AO571" s="64">
        <v>364403.62207709998</v>
      </c>
      <c r="AP571" s="61">
        <f>+N571-'Приложение №2'!E571</f>
        <v>-4.9770483747124672E-4</v>
      </c>
      <c r="AQ571" s="6">
        <f>2180464.78-R228</f>
        <v>815894.89509621984</v>
      </c>
      <c r="AR571" s="3">
        <f>+(K571*10+L571*20)*12*0.85</f>
        <v>478318.8</v>
      </c>
      <c r="AS571" s="3">
        <f>+(K571*10+L571*20)*12*30-S228</f>
        <v>8109718.5999999996</v>
      </c>
      <c r="AT571" s="6">
        <f t="shared" si="166"/>
        <v>-4239936.93</v>
      </c>
      <c r="AU571" s="6" t="e">
        <v>#REF!</v>
      </c>
      <c r="AV571" s="6" t="e">
        <v>#REF!</v>
      </c>
      <c r="AW571" s="62">
        <f t="shared" si="162"/>
        <v>3869781.6704977048</v>
      </c>
      <c r="AX571" s="55"/>
      <c r="AY571" s="55">
        <v>0</v>
      </c>
      <c r="AZ571" s="55">
        <v>3475648.0455939299</v>
      </c>
      <c r="BA571" s="55"/>
      <c r="BB571" s="55">
        <v>0</v>
      </c>
      <c r="BC571" s="55"/>
      <c r="BD571" s="55"/>
      <c r="BE571" s="55">
        <v>0</v>
      </c>
      <c r="BF571" s="55">
        <v>0</v>
      </c>
      <c r="BG571" s="55">
        <v>0</v>
      </c>
      <c r="BH571" s="55">
        <v>0</v>
      </c>
      <c r="BI571" s="55">
        <v>0</v>
      </c>
      <c r="BJ571" s="55"/>
      <c r="BK571" s="63"/>
      <c r="BL571" s="64">
        <v>394133.62490377499</v>
      </c>
      <c r="BM571" s="62">
        <f t="shared" si="163"/>
        <v>3869781.6704977048</v>
      </c>
      <c r="BN571" s="55"/>
      <c r="BO571" s="55">
        <v>0</v>
      </c>
      <c r="BP571" s="55">
        <v>3475648.0455939299</v>
      </c>
      <c r="BQ571" s="55"/>
      <c r="BR571" s="55">
        <v>0</v>
      </c>
      <c r="BS571" s="55"/>
      <c r="BT571" s="55"/>
      <c r="BU571" s="55">
        <v>0</v>
      </c>
      <c r="BV571" s="55">
        <v>0</v>
      </c>
      <c r="BW571" s="55">
        <v>0</v>
      </c>
      <c r="BX571" s="55">
        <v>0</v>
      </c>
      <c r="BY571" s="55">
        <v>0</v>
      </c>
      <c r="BZ571" s="55"/>
      <c r="CA571" s="63"/>
      <c r="CB571" s="64">
        <v>394133.62490377499</v>
      </c>
      <c r="CD571" s="75"/>
      <c r="CE571" s="6"/>
    </row>
    <row r="572" spans="1:84" x14ac:dyDescent="0.25">
      <c r="A572" s="105">
        <f t="shared" si="164"/>
        <v>550</v>
      </c>
      <c r="B572" s="107">
        <f t="shared" si="161"/>
        <v>91</v>
      </c>
      <c r="C572" s="53" t="s">
        <v>75</v>
      </c>
      <c r="D572" s="53" t="s">
        <v>576</v>
      </c>
      <c r="E572" s="54">
        <v>1989</v>
      </c>
      <c r="F572" s="54">
        <v>2016</v>
      </c>
      <c r="G572" s="54" t="s">
        <v>64</v>
      </c>
      <c r="H572" s="54">
        <v>5</v>
      </c>
      <c r="I572" s="54">
        <v>8</v>
      </c>
      <c r="J572" s="55">
        <v>7135.2</v>
      </c>
      <c r="K572" s="55">
        <v>6073.2</v>
      </c>
      <c r="L572" s="55">
        <v>1062</v>
      </c>
      <c r="M572" s="56">
        <v>253</v>
      </c>
      <c r="N572" s="112">
        <v>40235267.280000001</v>
      </c>
      <c r="O572" s="55"/>
      <c r="P572" s="63"/>
      <c r="Q572" s="63"/>
      <c r="R572" s="62">
        <v>4432237.84</v>
      </c>
      <c r="S572" s="62">
        <v>30985416</v>
      </c>
      <c r="T572" s="62">
        <v>4817613.4400000004</v>
      </c>
      <c r="U572" s="63">
        <v>6625.0522432984299</v>
      </c>
      <c r="V572" s="63">
        <v>1238.2830200640001</v>
      </c>
      <c r="W572" s="59">
        <v>2024</v>
      </c>
      <c r="X572" s="6" t="e">
        <v>#REF!</v>
      </c>
      <c r="Z572" s="62">
        <f t="shared" si="165"/>
        <v>28889172.431907829</v>
      </c>
      <c r="AA572" s="55">
        <v>0</v>
      </c>
      <c r="AB572" s="55">
        <v>0</v>
      </c>
      <c r="AC572" s="55">
        <v>0</v>
      </c>
      <c r="AD572" s="55">
        <v>0</v>
      </c>
      <c r="AE572" s="55">
        <v>0</v>
      </c>
      <c r="AF572" s="55"/>
      <c r="AG572" s="55">
        <v>0</v>
      </c>
      <c r="AH572" s="55">
        <v>0</v>
      </c>
      <c r="AI572" s="55">
        <v>0</v>
      </c>
      <c r="AJ572" s="55">
        <v>0</v>
      </c>
      <c r="AK572" s="55">
        <v>28074124.097605001</v>
      </c>
      <c r="AL572" s="55">
        <v>0</v>
      </c>
      <c r="AM572" s="55">
        <v>177124.1</v>
      </c>
      <c r="AN572" s="55">
        <v>24000</v>
      </c>
      <c r="AO572" s="64">
        <v>613924.23430282797</v>
      </c>
      <c r="AP572" s="61">
        <f>+N572-'Приложение №2'!E572</f>
        <v>-4.0000006556510925E-3</v>
      </c>
      <c r="AQ572" s="65">
        <v>3554317.72</v>
      </c>
      <c r="AR572" s="3">
        <f>+(K572*10.5+L572*21)*12*0.85</f>
        <v>877920.12</v>
      </c>
      <c r="AS572" s="3">
        <f>+(K572*10.5+L572*21)*12*30</f>
        <v>30985416.000000004</v>
      </c>
      <c r="AT572" s="6">
        <f t="shared" si="166"/>
        <v>0</v>
      </c>
      <c r="AU572" s="6" t="e">
        <v>#REF!</v>
      </c>
      <c r="AV572" s="6" t="e">
        <v>#REF!</v>
      </c>
      <c r="AW572" s="110">
        <f t="shared" si="162"/>
        <v>40235267.284000002</v>
      </c>
      <c r="AX572" s="55">
        <v>0</v>
      </c>
      <c r="AY572" s="55">
        <v>0</v>
      </c>
      <c r="AZ572" s="55">
        <v>0</v>
      </c>
      <c r="BA572" s="55">
        <v>0</v>
      </c>
      <c r="BB572" s="55">
        <v>0</v>
      </c>
      <c r="BC572" s="55"/>
      <c r="BD572" s="55"/>
      <c r="BE572" s="55">
        <v>0</v>
      </c>
      <c r="BF572" s="55">
        <v>0</v>
      </c>
      <c r="BG572" s="55">
        <v>0</v>
      </c>
      <c r="BH572" s="55">
        <v>39374232.564122401</v>
      </c>
      <c r="BI572" s="55">
        <v>0</v>
      </c>
      <c r="BJ572" s="55"/>
      <c r="BK572" s="55"/>
      <c r="BL572" s="64">
        <v>861034.71987759997</v>
      </c>
      <c r="BM572" s="110">
        <f t="shared" si="163"/>
        <v>40235267.284000002</v>
      </c>
      <c r="BN572" s="55">
        <v>0</v>
      </c>
      <c r="BO572" s="55">
        <v>0</v>
      </c>
      <c r="BP572" s="55">
        <v>0</v>
      </c>
      <c r="BQ572" s="55">
        <v>0</v>
      </c>
      <c r="BR572" s="55">
        <v>0</v>
      </c>
      <c r="BS572" s="55"/>
      <c r="BT572" s="55"/>
      <c r="BU572" s="55">
        <v>0</v>
      </c>
      <c r="BV572" s="55">
        <v>0</v>
      </c>
      <c r="BW572" s="55">
        <v>0</v>
      </c>
      <c r="BX572" s="55">
        <v>39374232.564122401</v>
      </c>
      <c r="BY572" s="55">
        <v>0</v>
      </c>
      <c r="BZ572" s="55"/>
      <c r="CA572" s="55"/>
      <c r="CB572" s="64">
        <v>861034.71987759997</v>
      </c>
      <c r="CD572" s="75"/>
      <c r="CE572" s="6"/>
    </row>
    <row r="573" spans="1:84" x14ac:dyDescent="0.25">
      <c r="A573" s="105">
        <f t="shared" si="164"/>
        <v>551</v>
      </c>
      <c r="B573" s="107">
        <f t="shared" si="161"/>
        <v>92</v>
      </c>
      <c r="C573" s="53" t="s">
        <v>75</v>
      </c>
      <c r="D573" s="53" t="s">
        <v>577</v>
      </c>
      <c r="E573" s="54">
        <v>1991</v>
      </c>
      <c r="F573" s="54">
        <v>2010</v>
      </c>
      <c r="G573" s="54" t="s">
        <v>64</v>
      </c>
      <c r="H573" s="54">
        <v>5</v>
      </c>
      <c r="I573" s="54">
        <v>5</v>
      </c>
      <c r="J573" s="55">
        <v>4721.8999999999996</v>
      </c>
      <c r="K573" s="55">
        <v>4156.5</v>
      </c>
      <c r="L573" s="55">
        <v>0</v>
      </c>
      <c r="M573" s="56">
        <v>161</v>
      </c>
      <c r="N573" s="112">
        <v>22930681.329999998</v>
      </c>
      <c r="O573" s="55"/>
      <c r="P573" s="63"/>
      <c r="Q573" s="63"/>
      <c r="R573" s="62">
        <v>2919129.96</v>
      </c>
      <c r="S573" s="62">
        <v>15711570</v>
      </c>
      <c r="T573" s="62">
        <v>4299981.37</v>
      </c>
      <c r="U573" s="63">
        <v>5502.0954287531604</v>
      </c>
      <c r="V573" s="63">
        <v>1240.2830200640001</v>
      </c>
      <c r="W573" s="59">
        <v>2024</v>
      </c>
      <c r="X573" s="6" t="e">
        <v>#REF!</v>
      </c>
      <c r="Z573" s="62">
        <f t="shared" si="165"/>
        <v>13211921.580525165</v>
      </c>
      <c r="AA573" s="55">
        <v>8244815.9026870402</v>
      </c>
      <c r="AB573" s="55">
        <v>0</v>
      </c>
      <c r="AC573" s="55">
        <v>0</v>
      </c>
      <c r="AD573" s="55">
        <v>3327296.31458162</v>
      </c>
      <c r="AE573" s="55">
        <v>0</v>
      </c>
      <c r="AF573" s="55"/>
      <c r="AG573" s="55">
        <v>0</v>
      </c>
      <c r="AH573" s="55">
        <v>0</v>
      </c>
      <c r="AI573" s="55">
        <v>0</v>
      </c>
      <c r="AJ573" s="55">
        <v>0</v>
      </c>
      <c r="AK573" s="55">
        <v>0</v>
      </c>
      <c r="AL573" s="55">
        <v>0</v>
      </c>
      <c r="AM573" s="55">
        <v>1254631.4907482599</v>
      </c>
      <c r="AN573" s="63">
        <v>132119.215805252</v>
      </c>
      <c r="AO573" s="64">
        <v>253058.656702993</v>
      </c>
      <c r="AP573" s="61">
        <f>+N573-'Приложение №2'!E573</f>
        <v>-3.1170658767223358E-3</v>
      </c>
      <c r="AQ573" s="65">
        <v>2473968.81</v>
      </c>
      <c r="AR573" s="3">
        <f>+(K573*10.5+L573*21)*12*0.85</f>
        <v>445161.14999999997</v>
      </c>
      <c r="AS573" s="3">
        <f>+(K573*10.5+L573*21)*12*30</f>
        <v>15711570</v>
      </c>
      <c r="AT573" s="6">
        <f t="shared" si="166"/>
        <v>0</v>
      </c>
      <c r="AU573" s="6" t="e">
        <v>#REF!</v>
      </c>
      <c r="AV573" s="6" t="e">
        <v>#REF!</v>
      </c>
      <c r="AW573" s="110">
        <f t="shared" si="162"/>
        <v>22869459.649612546</v>
      </c>
      <c r="AX573" s="55">
        <v>13891614.2865311</v>
      </c>
      <c r="AY573" s="55">
        <v>0</v>
      </c>
      <c r="AZ573" s="55">
        <v>4086844.07342418</v>
      </c>
      <c r="BA573" s="55">
        <v>3952915.9264954799</v>
      </c>
      <c r="BB573" s="55">
        <v>0</v>
      </c>
      <c r="BC573" s="55"/>
      <c r="BD573" s="55">
        <v>448678.92666007602</v>
      </c>
      <c r="BE573" s="55">
        <v>0</v>
      </c>
      <c r="BF573" s="55">
        <v>0</v>
      </c>
      <c r="BG573" s="55">
        <v>0</v>
      </c>
      <c r="BH573" s="55">
        <v>0</v>
      </c>
      <c r="BI573" s="55">
        <v>0</v>
      </c>
      <c r="BJ573" s="55"/>
      <c r="BK573" s="63"/>
      <c r="BL573" s="64">
        <v>489406.43650170701</v>
      </c>
      <c r="BM573" s="110">
        <f t="shared" si="163"/>
        <v>22869459.649612546</v>
      </c>
      <c r="BN573" s="55">
        <v>13891614.2865311</v>
      </c>
      <c r="BO573" s="55">
        <v>0</v>
      </c>
      <c r="BP573" s="55">
        <v>4086844.07342418</v>
      </c>
      <c r="BQ573" s="55">
        <v>3952915.9264954799</v>
      </c>
      <c r="BR573" s="55">
        <v>0</v>
      </c>
      <c r="BS573" s="55"/>
      <c r="BT573" s="55">
        <v>448678.92666007602</v>
      </c>
      <c r="BU573" s="55">
        <v>0</v>
      </c>
      <c r="BV573" s="55">
        <v>0</v>
      </c>
      <c r="BW573" s="55">
        <v>0</v>
      </c>
      <c r="BX573" s="55">
        <v>0</v>
      </c>
      <c r="BY573" s="55">
        <v>0</v>
      </c>
      <c r="BZ573" s="55"/>
      <c r="CA573" s="63"/>
      <c r="CB573" s="64">
        <v>489406.43650170701</v>
      </c>
      <c r="CD573" s="75"/>
      <c r="CE573" s="6"/>
    </row>
    <row r="574" spans="1:84" x14ac:dyDescent="0.25">
      <c r="A574" s="105">
        <f t="shared" si="164"/>
        <v>552</v>
      </c>
      <c r="B574" s="107">
        <f t="shared" si="161"/>
        <v>93</v>
      </c>
      <c r="C574" s="53" t="s">
        <v>75</v>
      </c>
      <c r="D574" s="53" t="s">
        <v>578</v>
      </c>
      <c r="E574" s="54">
        <v>1991</v>
      </c>
      <c r="F574" s="54">
        <v>1999</v>
      </c>
      <c r="G574" s="54" t="s">
        <v>64</v>
      </c>
      <c r="H574" s="54">
        <v>2</v>
      </c>
      <c r="I574" s="54">
        <v>8</v>
      </c>
      <c r="J574" s="55">
        <v>1042.9000000000001</v>
      </c>
      <c r="K574" s="55">
        <v>988.8</v>
      </c>
      <c r="L574" s="55">
        <v>54.1</v>
      </c>
      <c r="M574" s="56">
        <v>39</v>
      </c>
      <c r="N574" s="112">
        <v>12522293.550000001</v>
      </c>
      <c r="O574" s="55"/>
      <c r="P574" s="62">
        <v>1714925.77</v>
      </c>
      <c r="Q574" s="63"/>
      <c r="R574" s="62">
        <v>704790.02</v>
      </c>
      <c r="S574" s="62">
        <v>4146660</v>
      </c>
      <c r="T574" s="62">
        <v>5955917.7599999998</v>
      </c>
      <c r="U574" s="63">
        <v>12664.131824464999</v>
      </c>
      <c r="V574" s="63">
        <v>1242.2830200640001</v>
      </c>
      <c r="W574" s="59">
        <v>2024</v>
      </c>
      <c r="X574" s="6" t="e">
        <v>#REF!</v>
      </c>
      <c r="Z574" s="62">
        <f t="shared" si="165"/>
        <v>11134371.560000001</v>
      </c>
      <c r="AA574" s="55">
        <v>0</v>
      </c>
      <c r="AB574" s="55">
        <v>0</v>
      </c>
      <c r="AC574" s="55">
        <v>0</v>
      </c>
      <c r="AD574" s="55">
        <v>0</v>
      </c>
      <c r="AE574" s="55">
        <v>0</v>
      </c>
      <c r="AF574" s="55"/>
      <c r="AG574" s="55">
        <v>0</v>
      </c>
      <c r="AH574" s="55">
        <v>0</v>
      </c>
      <c r="AI574" s="55">
        <v>0</v>
      </c>
      <c r="AJ574" s="55">
        <v>0</v>
      </c>
      <c r="AK574" s="55">
        <v>9697525.4476682395</v>
      </c>
      <c r="AL574" s="55">
        <v>0</v>
      </c>
      <c r="AM574" s="55">
        <v>1113437.156</v>
      </c>
      <c r="AN574" s="63">
        <v>111343.7156</v>
      </c>
      <c r="AO574" s="64">
        <v>212065.24073175999</v>
      </c>
      <c r="AP574" s="61">
        <f>+N574-'Приложение №2'!E574</f>
        <v>1.9689369946718216E-3</v>
      </c>
      <c r="AQ574" s="65">
        <v>587301.31999999995</v>
      </c>
      <c r="AR574" s="3">
        <f>+(K574*10.5+L574*21)*12*0.85</f>
        <v>117488.7</v>
      </c>
      <c r="AS574" s="3">
        <f>+(K574*10.5+L574*21)*12*30</f>
        <v>4146660</v>
      </c>
      <c r="AT574" s="6">
        <f t="shared" si="166"/>
        <v>0</v>
      </c>
      <c r="AU574" s="6" t="e">
        <v>#REF!</v>
      </c>
      <c r="AV574" s="6" t="e">
        <v>#REF!</v>
      </c>
      <c r="AW574" s="110">
        <f t="shared" si="162"/>
        <v>12522293.548031064</v>
      </c>
      <c r="AX574" s="55">
        <v>0</v>
      </c>
      <c r="AY574" s="55">
        <v>0</v>
      </c>
      <c r="AZ574" s="55">
        <v>0</v>
      </c>
      <c r="BA574" s="55">
        <v>0</v>
      </c>
      <c r="BB574" s="55">
        <v>0</v>
      </c>
      <c r="BC574" s="55"/>
      <c r="BD574" s="55"/>
      <c r="BE574" s="55">
        <v>0</v>
      </c>
      <c r="BF574" s="55">
        <v>0</v>
      </c>
      <c r="BG574" s="55">
        <v>0</v>
      </c>
      <c r="BH574" s="55">
        <v>12254316.4661032</v>
      </c>
      <c r="BI574" s="55">
        <v>0</v>
      </c>
      <c r="BJ574" s="55"/>
      <c r="BK574" s="63"/>
      <c r="BL574" s="64">
        <v>267977.081927864</v>
      </c>
      <c r="BM574" s="110">
        <f t="shared" si="163"/>
        <v>12522293.548031064</v>
      </c>
      <c r="BN574" s="55">
        <v>0</v>
      </c>
      <c r="BO574" s="55">
        <v>0</v>
      </c>
      <c r="BP574" s="55">
        <v>0</v>
      </c>
      <c r="BQ574" s="55">
        <v>0</v>
      </c>
      <c r="BR574" s="55">
        <v>0</v>
      </c>
      <c r="BS574" s="55"/>
      <c r="BT574" s="55"/>
      <c r="BU574" s="55">
        <v>0</v>
      </c>
      <c r="BV574" s="55">
        <v>0</v>
      </c>
      <c r="BW574" s="55">
        <v>0</v>
      </c>
      <c r="BX574" s="55">
        <v>12254316.4661032</v>
      </c>
      <c r="BY574" s="55">
        <v>0</v>
      </c>
      <c r="BZ574" s="55"/>
      <c r="CA574" s="63"/>
      <c r="CB574" s="64">
        <v>267977.081927864</v>
      </c>
      <c r="CD574" s="75"/>
      <c r="CE574" s="6"/>
    </row>
    <row r="575" spans="1:84" x14ac:dyDescent="0.25">
      <c r="A575" s="105">
        <f t="shared" si="164"/>
        <v>553</v>
      </c>
      <c r="B575" s="107">
        <f t="shared" si="161"/>
        <v>94</v>
      </c>
      <c r="C575" s="53" t="s">
        <v>75</v>
      </c>
      <c r="D575" s="53" t="s">
        <v>579</v>
      </c>
      <c r="E575" s="54" t="s">
        <v>100</v>
      </c>
      <c r="F575" s="54"/>
      <c r="G575" s="54" t="s">
        <v>64</v>
      </c>
      <c r="H575" s="54" t="s">
        <v>101</v>
      </c>
      <c r="I575" s="54" t="s">
        <v>184</v>
      </c>
      <c r="J575" s="55">
        <v>6626.4</v>
      </c>
      <c r="K575" s="55">
        <v>4862.3999999999996</v>
      </c>
      <c r="L575" s="55">
        <v>725.8</v>
      </c>
      <c r="M575" s="56">
        <v>218</v>
      </c>
      <c r="N575" s="112">
        <v>12897116.890000001</v>
      </c>
      <c r="O575" s="55"/>
      <c r="P575" s="63"/>
      <c r="Q575" s="63"/>
      <c r="R575" s="62">
        <v>4074235.28</v>
      </c>
      <c r="S575" s="62">
        <v>8822881.6099999994</v>
      </c>
      <c r="T575" s="63"/>
      <c r="U575" s="63">
        <v>2652.4179196641899</v>
      </c>
      <c r="V575" s="63">
        <v>1243.2830200640001</v>
      </c>
      <c r="W575" s="59">
        <v>2024</v>
      </c>
      <c r="X575" s="6"/>
      <c r="Z575" s="74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75"/>
      <c r="AO575" s="75"/>
      <c r="AP575" s="61">
        <f>+N575-'Приложение №2'!E575</f>
        <v>-2.5751460343599319E-3</v>
      </c>
      <c r="AQ575" s="1">
        <v>3430207.28</v>
      </c>
      <c r="AR575" s="3">
        <f>+(K575*10+L575*20)*12*0.85</f>
        <v>644028</v>
      </c>
      <c r="AS575" s="3">
        <f>+(K575*10+L575*20)*12*30</f>
        <v>22730400</v>
      </c>
      <c r="AT575" s="6">
        <f t="shared" si="166"/>
        <v>-13907518.390000001</v>
      </c>
      <c r="AW575" s="62">
        <f t="shared" si="162"/>
        <v>12897116.892575147</v>
      </c>
      <c r="AX575" s="55"/>
      <c r="AY575" s="55"/>
      <c r="AZ575" s="55"/>
      <c r="BA575" s="55"/>
      <c r="BB575" s="55"/>
      <c r="BC575" s="55"/>
      <c r="BD575" s="55"/>
      <c r="BE575" s="55"/>
      <c r="BF575" s="55"/>
      <c r="BG575" s="55">
        <v>11232795.5460559</v>
      </c>
      <c r="BH575" s="55"/>
      <c r="BI575" s="55"/>
      <c r="BJ575" s="55">
        <v>1289711.68925751</v>
      </c>
      <c r="BK575" s="63">
        <v>128971.168925751</v>
      </c>
      <c r="BL575" s="64">
        <v>245638.48833598601</v>
      </c>
      <c r="BM575" s="62">
        <f t="shared" si="163"/>
        <v>12897116.892575147</v>
      </c>
      <c r="BN575" s="55"/>
      <c r="BO575" s="55"/>
      <c r="BP575" s="55"/>
      <c r="BQ575" s="55"/>
      <c r="BR575" s="55"/>
      <c r="BS575" s="55"/>
      <c r="BT575" s="55"/>
      <c r="BU575" s="55"/>
      <c r="BV575" s="55"/>
      <c r="BW575" s="55">
        <v>11232795.5460559</v>
      </c>
      <c r="BX575" s="55"/>
      <c r="BY575" s="55"/>
      <c r="BZ575" s="55">
        <v>1289711.68925751</v>
      </c>
      <c r="CA575" s="63">
        <v>128971.168925751</v>
      </c>
      <c r="CB575" s="64">
        <v>245638.48833598601</v>
      </c>
      <c r="CD575" s="75"/>
      <c r="CE575" s="6"/>
    </row>
    <row r="576" spans="1:84" x14ac:dyDescent="0.25">
      <c r="A576" s="105">
        <f t="shared" si="164"/>
        <v>554</v>
      </c>
      <c r="B576" s="107">
        <f t="shared" si="161"/>
        <v>95</v>
      </c>
      <c r="C576" s="53" t="s">
        <v>75</v>
      </c>
      <c r="D576" s="53" t="s">
        <v>580</v>
      </c>
      <c r="E576" s="54" t="s">
        <v>100</v>
      </c>
      <c r="F576" s="54"/>
      <c r="G576" s="54" t="s">
        <v>64</v>
      </c>
      <c r="H576" s="54" t="s">
        <v>101</v>
      </c>
      <c r="I576" s="54" t="s">
        <v>184</v>
      </c>
      <c r="J576" s="55">
        <v>6832.2</v>
      </c>
      <c r="K576" s="55">
        <v>5772.1</v>
      </c>
      <c r="L576" s="55">
        <v>17</v>
      </c>
      <c r="M576" s="56">
        <v>245</v>
      </c>
      <c r="N576" s="112">
        <v>13360777.960000001</v>
      </c>
      <c r="O576" s="55"/>
      <c r="P576" s="63"/>
      <c r="Q576" s="63"/>
      <c r="R576" s="62">
        <v>3768302.31</v>
      </c>
      <c r="S576" s="62">
        <v>9592475.6500000004</v>
      </c>
      <c r="T576" s="63"/>
      <c r="U576" s="63">
        <v>2314.71699402387</v>
      </c>
      <c r="V576" s="63">
        <v>1244.2830200640001</v>
      </c>
      <c r="W576" s="59">
        <v>2024</v>
      </c>
      <c r="X576" s="6"/>
      <c r="Z576" s="74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75"/>
      <c r="AO576" s="75"/>
      <c r="AP576" s="61">
        <f>+N576-'Приложение №2'!E576</f>
        <v>-1.2051854282617569E-3</v>
      </c>
      <c r="AQ576" s="1">
        <v>3176080.11</v>
      </c>
      <c r="AR576" s="3">
        <f>+(K576*10+L576*20)*12*0.85</f>
        <v>592222.19999999995</v>
      </c>
      <c r="AS576" s="3">
        <f>+(K576*10+L576*20)*12*30</f>
        <v>20901960</v>
      </c>
      <c r="AT576" s="6">
        <f t="shared" si="166"/>
        <v>-11309484.35</v>
      </c>
      <c r="AW576" s="62">
        <f t="shared" si="162"/>
        <v>13360777.961205186</v>
      </c>
      <c r="AX576" s="55"/>
      <c r="AY576" s="55"/>
      <c r="AZ576" s="55"/>
      <c r="BA576" s="55"/>
      <c r="BB576" s="55"/>
      <c r="BC576" s="55"/>
      <c r="BD576" s="55"/>
      <c r="BE576" s="55"/>
      <c r="BF576" s="55"/>
      <c r="BG576" s="55">
        <v>11636623.0084235</v>
      </c>
      <c r="BH576" s="55"/>
      <c r="BI576" s="55"/>
      <c r="BJ576" s="55">
        <v>1336077.79612052</v>
      </c>
      <c r="BK576" s="63">
        <v>133607.77961205199</v>
      </c>
      <c r="BL576" s="64">
        <v>254469.377049114</v>
      </c>
      <c r="BM576" s="62">
        <f t="shared" si="163"/>
        <v>13360777.961205186</v>
      </c>
      <c r="BN576" s="55"/>
      <c r="BO576" s="55"/>
      <c r="BP576" s="55"/>
      <c r="BQ576" s="55"/>
      <c r="BR576" s="55"/>
      <c r="BS576" s="55"/>
      <c r="BT576" s="55"/>
      <c r="BU576" s="55"/>
      <c r="BV576" s="55"/>
      <c r="BW576" s="55">
        <v>11636623.0084235</v>
      </c>
      <c r="BX576" s="55"/>
      <c r="BY576" s="55"/>
      <c r="BZ576" s="55">
        <v>1336077.79612052</v>
      </c>
      <c r="CA576" s="63">
        <v>133607.77961205199</v>
      </c>
      <c r="CB576" s="64">
        <v>254469.377049114</v>
      </c>
      <c r="CD576" s="75"/>
      <c r="CE576" s="6"/>
    </row>
    <row r="577" spans="1:84" x14ac:dyDescent="0.25">
      <c r="A577" s="105">
        <f t="shared" si="164"/>
        <v>555</v>
      </c>
      <c r="B577" s="107">
        <f t="shared" si="161"/>
        <v>96</v>
      </c>
      <c r="C577" s="53" t="s">
        <v>75</v>
      </c>
      <c r="D577" s="53" t="s">
        <v>106</v>
      </c>
      <c r="E577" s="54">
        <v>1992</v>
      </c>
      <c r="F577" s="54">
        <v>2009</v>
      </c>
      <c r="G577" s="54" t="s">
        <v>64</v>
      </c>
      <c r="H577" s="54">
        <v>9</v>
      </c>
      <c r="I577" s="54">
        <v>1</v>
      </c>
      <c r="J577" s="55">
        <v>3320.9</v>
      </c>
      <c r="K577" s="55">
        <v>2870.8</v>
      </c>
      <c r="L577" s="55">
        <v>0</v>
      </c>
      <c r="M577" s="56">
        <v>115</v>
      </c>
      <c r="N577" s="112">
        <v>16126771.32</v>
      </c>
      <c r="O577" s="55"/>
      <c r="P577" s="62">
        <v>3559708.84</v>
      </c>
      <c r="Q577" s="63"/>
      <c r="R577" s="62">
        <v>408486.13</v>
      </c>
      <c r="S577" s="62">
        <v>12158576.35</v>
      </c>
      <c r="T577" s="63"/>
      <c r="U577" s="63">
        <v>5617.5182236418696</v>
      </c>
      <c r="V577" s="63">
        <v>1245.2830200640001</v>
      </c>
      <c r="W577" s="59">
        <v>2024</v>
      </c>
      <c r="X577" s="6" t="e">
        <v>#REF!</v>
      </c>
      <c r="Z577" s="62">
        <f>SUM(AA577:AO577)</f>
        <v>14776696.027288169</v>
      </c>
      <c r="AA577" s="55">
        <v>6885723.9998886101</v>
      </c>
      <c r="AB577" s="55">
        <v>2754946.3207044802</v>
      </c>
      <c r="AC577" s="55">
        <v>2034797.5532993099</v>
      </c>
      <c r="AD577" s="55">
        <v>1300328.9200963301</v>
      </c>
      <c r="AE577" s="55">
        <v>0</v>
      </c>
      <c r="AF577" s="55"/>
      <c r="AG577" s="55">
        <v>0</v>
      </c>
      <c r="AH577" s="55">
        <v>0</v>
      </c>
      <c r="AI577" s="55">
        <v>0</v>
      </c>
      <c r="AJ577" s="55">
        <v>0</v>
      </c>
      <c r="AK577" s="55">
        <v>0</v>
      </c>
      <c r="AL577" s="55">
        <v>0</v>
      </c>
      <c r="AM577" s="55">
        <v>1369377.8775724799</v>
      </c>
      <c r="AN577" s="63">
        <v>147766.96027288199</v>
      </c>
      <c r="AO577" s="64">
        <v>283754.395454076</v>
      </c>
      <c r="AP577" s="61">
        <f>+N577-'Приложение №2'!E577</f>
        <v>3.5689100623130798E-3</v>
      </c>
      <c r="AQ577" s="6">
        <f>2273243.45-R53</f>
        <v>385057.82233943022</v>
      </c>
      <c r="AR577" s="3">
        <f>+(K577*13.95+L577*23.65)*12*0.85</f>
        <v>408486.13200000004</v>
      </c>
      <c r="AS577" s="3">
        <f>+(K577*13.95+L577*23.65)*12*30-S53</f>
        <v>14417157.600000001</v>
      </c>
      <c r="AT577" s="6">
        <f t="shared" si="166"/>
        <v>-2258581.2500000019</v>
      </c>
      <c r="AU577" s="6" t="e">
        <v>#REF!</v>
      </c>
      <c r="AV577" s="6" t="e">
        <v>#REF!</v>
      </c>
      <c r="AW577" s="110">
        <f t="shared" si="162"/>
        <v>16126771.31643109</v>
      </c>
      <c r="AX577" s="55">
        <v>8180916.3093257602</v>
      </c>
      <c r="AY577" s="55">
        <v>3273146.77247199</v>
      </c>
      <c r="AZ577" s="55">
        <v>2417539.3161607599</v>
      </c>
      <c r="BA577" s="55">
        <v>1544918.4530306701</v>
      </c>
      <c r="BB577" s="55">
        <v>0</v>
      </c>
      <c r="BC577" s="55"/>
      <c r="BD577" s="55">
        <v>365137.55927028501</v>
      </c>
      <c r="BE577" s="55">
        <v>0</v>
      </c>
      <c r="BF577" s="55">
        <v>0</v>
      </c>
      <c r="BG577" s="55">
        <v>0</v>
      </c>
      <c r="BH577" s="55">
        <v>0</v>
      </c>
      <c r="BI577" s="55">
        <v>0</v>
      </c>
      <c r="BJ577" s="55"/>
      <c r="BK577" s="63"/>
      <c r="BL577" s="64">
        <v>345112.90617162501</v>
      </c>
      <c r="BM577" s="110">
        <f t="shared" si="163"/>
        <v>16126771.31643109</v>
      </c>
      <c r="BN577" s="55">
        <v>8180916.3093257602</v>
      </c>
      <c r="BO577" s="55">
        <v>3273146.77247199</v>
      </c>
      <c r="BP577" s="55">
        <v>2417539.3161607599</v>
      </c>
      <c r="BQ577" s="55">
        <v>1544918.4530306701</v>
      </c>
      <c r="BR577" s="55">
        <v>0</v>
      </c>
      <c r="BS577" s="55"/>
      <c r="BT577" s="55">
        <v>365137.55927028501</v>
      </c>
      <c r="BU577" s="55">
        <v>0</v>
      </c>
      <c r="BV577" s="55">
        <v>0</v>
      </c>
      <c r="BW577" s="55">
        <v>0</v>
      </c>
      <c r="BX577" s="55">
        <v>0</v>
      </c>
      <c r="BY577" s="55">
        <v>0</v>
      </c>
      <c r="BZ577" s="55"/>
      <c r="CA577" s="63"/>
      <c r="CB577" s="64">
        <v>345112.90617162501</v>
      </c>
      <c r="CD577" s="75"/>
      <c r="CE577" s="6"/>
    </row>
    <row r="578" spans="1:84" x14ac:dyDescent="0.25">
      <c r="A578" s="105">
        <f t="shared" si="164"/>
        <v>556</v>
      </c>
      <c r="B578" s="107">
        <f t="shared" ref="B578:B599" si="167">+B577+1</f>
        <v>97</v>
      </c>
      <c r="C578" s="53" t="s">
        <v>75</v>
      </c>
      <c r="D578" s="53" t="s">
        <v>317</v>
      </c>
      <c r="E578" s="54">
        <v>1991</v>
      </c>
      <c r="F578" s="54">
        <v>2009</v>
      </c>
      <c r="G578" s="54" t="s">
        <v>64</v>
      </c>
      <c r="H578" s="54">
        <v>5</v>
      </c>
      <c r="I578" s="54">
        <v>2</v>
      </c>
      <c r="J578" s="55">
        <v>3315.2</v>
      </c>
      <c r="K578" s="55">
        <v>2614.6999999999998</v>
      </c>
      <c r="L578" s="55">
        <v>667.8</v>
      </c>
      <c r="M578" s="56">
        <v>88</v>
      </c>
      <c r="N578" s="112">
        <v>1133724.8899999999</v>
      </c>
      <c r="O578" s="55"/>
      <c r="P578" s="63"/>
      <c r="Q578" s="63"/>
      <c r="R578" s="62">
        <v>131935.41</v>
      </c>
      <c r="S578" s="62">
        <v>1001789.48</v>
      </c>
      <c r="T578" s="113"/>
      <c r="U578" s="63">
        <v>1032.78654360319</v>
      </c>
      <c r="V578" s="63">
        <v>1032.78654360319</v>
      </c>
      <c r="W578" s="59">
        <v>2024</v>
      </c>
      <c r="X578" s="6" t="e">
        <v>#REF!</v>
      </c>
      <c r="Z578" s="62">
        <f>SUM(AA578:AO578)</f>
        <v>5124059.0709295096</v>
      </c>
      <c r="AA578" s="55">
        <v>0</v>
      </c>
      <c r="AB578" s="55">
        <v>0</v>
      </c>
      <c r="AC578" s="55">
        <v>2132209.3029237199</v>
      </c>
      <c r="AD578" s="55">
        <v>2252050.53862833</v>
      </c>
      <c r="AE578" s="55">
        <v>0</v>
      </c>
      <c r="AF578" s="55"/>
      <c r="AG578" s="55">
        <v>0</v>
      </c>
      <c r="AH578" s="55">
        <v>0</v>
      </c>
      <c r="AI578" s="55">
        <v>0</v>
      </c>
      <c r="AJ578" s="55">
        <v>0</v>
      </c>
      <c r="AK578" s="55">
        <v>0</v>
      </c>
      <c r="AL578" s="55">
        <v>0</v>
      </c>
      <c r="AM578" s="55">
        <v>592683.75556044595</v>
      </c>
      <c r="AN578" s="63">
        <v>51240.590709295102</v>
      </c>
      <c r="AO578" s="64">
        <v>95874.883107719099</v>
      </c>
      <c r="AP578" s="61">
        <f>+N578-'Приложение №2'!E578</f>
        <v>6.8922808859497309E-3</v>
      </c>
      <c r="AQ578" s="1">
        <v>1371575.02</v>
      </c>
      <c r="AR578" s="3">
        <f>+(K578*10+L578*20)*12*0.85</f>
        <v>402930.6</v>
      </c>
      <c r="AS578" s="3">
        <f>+(K578*10+L578*20)*12*30</f>
        <v>14221080</v>
      </c>
      <c r="AT578" s="6">
        <f t="shared" si="166"/>
        <v>-13219290.52</v>
      </c>
      <c r="AW578" s="62">
        <f t="shared" si="162"/>
        <v>3390121.8293774603</v>
      </c>
      <c r="AX578" s="55">
        <v>0</v>
      </c>
      <c r="AY578" s="55">
        <v>0</v>
      </c>
      <c r="AZ578" s="55">
        <v>927231.11</v>
      </c>
      <c r="BA578" s="55">
        <v>1740087.49</v>
      </c>
      <c r="BB578" s="55">
        <v>0</v>
      </c>
      <c r="BC578" s="55"/>
      <c r="BD578" s="55"/>
      <c r="BE578" s="55">
        <v>0</v>
      </c>
      <c r="BF578" s="55">
        <v>0</v>
      </c>
      <c r="BG578" s="55">
        <v>0</v>
      </c>
      <c r="BH578" s="55">
        <v>0</v>
      </c>
      <c r="BI578" s="55">
        <v>0</v>
      </c>
      <c r="BJ578" s="55">
        <v>575687.75556044595</v>
      </c>
      <c r="BK578" s="63">
        <v>51240.590709295102</v>
      </c>
      <c r="BL578" s="111">
        <v>95874.883107719099</v>
      </c>
      <c r="BM578" s="62">
        <f t="shared" si="163"/>
        <v>3390121.8293774603</v>
      </c>
      <c r="BN578" s="55">
        <v>0</v>
      </c>
      <c r="BO578" s="55">
        <v>0</v>
      </c>
      <c r="BP578" s="55">
        <v>927231.11</v>
      </c>
      <c r="BQ578" s="55">
        <v>1740087.49</v>
      </c>
      <c r="BR578" s="55">
        <v>0</v>
      </c>
      <c r="BS578" s="55"/>
      <c r="BT578" s="55"/>
      <c r="BU578" s="55">
        <v>0</v>
      </c>
      <c r="BV578" s="55">
        <v>0</v>
      </c>
      <c r="BW578" s="55">
        <v>0</v>
      </c>
      <c r="BX578" s="55">
        <v>0</v>
      </c>
      <c r="BY578" s="55">
        <v>0</v>
      </c>
      <c r="BZ578" s="55">
        <v>575687.75556044595</v>
      </c>
      <c r="CA578" s="63">
        <v>51240.590709295102</v>
      </c>
      <c r="CB578" s="64">
        <v>95874.883107719099</v>
      </c>
      <c r="CD578" s="75"/>
      <c r="CE578" s="6"/>
    </row>
    <row r="579" spans="1:84" x14ac:dyDescent="0.25">
      <c r="A579" s="105">
        <f t="shared" si="164"/>
        <v>557</v>
      </c>
      <c r="B579" s="107">
        <f t="shared" si="167"/>
        <v>98</v>
      </c>
      <c r="C579" s="53" t="s">
        <v>581</v>
      </c>
      <c r="D579" s="53" t="s">
        <v>582</v>
      </c>
      <c r="E579" s="54">
        <v>1993</v>
      </c>
      <c r="F579" s="54" t="s">
        <v>583</v>
      </c>
      <c r="G579" s="54" t="s">
        <v>64</v>
      </c>
      <c r="H579" s="54">
        <v>9</v>
      </c>
      <c r="I579" s="54">
        <v>3</v>
      </c>
      <c r="J579" s="55">
        <v>10078.200000000001</v>
      </c>
      <c r="K579" s="55">
        <v>8569.9</v>
      </c>
      <c r="L579" s="55">
        <v>245.1</v>
      </c>
      <c r="M579" s="56">
        <v>295</v>
      </c>
      <c r="N579" s="112">
        <v>9780000</v>
      </c>
      <c r="O579" s="55"/>
      <c r="P579" s="62">
        <v>3538238.89</v>
      </c>
      <c r="Q579" s="63"/>
      <c r="R579" s="62">
        <v>1280989.54</v>
      </c>
      <c r="S579" s="62">
        <v>4960771.57</v>
      </c>
      <c r="U579" s="63">
        <v>1141.2035146267799</v>
      </c>
      <c r="V579" s="63">
        <v>1245.2830200640001</v>
      </c>
      <c r="W579" s="59">
        <v>2024</v>
      </c>
      <c r="X579" s="6" t="e">
        <v>#REF!</v>
      </c>
      <c r="Z579" s="62">
        <f>SUM(AA579:AO579)</f>
        <v>9780000</v>
      </c>
      <c r="AA579" s="55"/>
      <c r="AB579" s="55"/>
      <c r="AC579" s="55"/>
      <c r="AD579" s="55"/>
      <c r="AE579" s="55"/>
      <c r="AF579" s="55"/>
      <c r="AG579" s="55"/>
      <c r="AH579" s="55">
        <v>9062814.5999999996</v>
      </c>
      <c r="AL579" s="55"/>
      <c r="AM579" s="55">
        <v>489000</v>
      </c>
      <c r="AN579" s="55">
        <v>30000</v>
      </c>
      <c r="AO579" s="55">
        <v>198185.4</v>
      </c>
      <c r="AP579" s="61">
        <f>+N579-'Приложение №2'!E579</f>
        <v>0</v>
      </c>
      <c r="AQ579" s="65">
        <v>2453</v>
      </c>
      <c r="AR579" s="3">
        <f>+(K579*13.95+L579*23.65)*12*0.85</f>
        <v>1278536.544</v>
      </c>
      <c r="AS579" s="3">
        <f>+(K579*13.95+L579*23.65)*12*30</f>
        <v>45124819.200000003</v>
      </c>
      <c r="AT579" s="6">
        <f t="shared" si="166"/>
        <v>-40164047.630000003</v>
      </c>
      <c r="AU579" s="6" t="e">
        <v>#REF!</v>
      </c>
      <c r="AV579" s="6" t="e">
        <v>#REF!</v>
      </c>
      <c r="AW579" s="110">
        <f t="shared" si="162"/>
        <v>9780000</v>
      </c>
      <c r="AX579" s="55"/>
      <c r="AY579" s="55"/>
      <c r="AZ579" s="55"/>
      <c r="BA579" s="55"/>
      <c r="BB579" s="55"/>
      <c r="BC579" s="55"/>
      <c r="BD579" s="55"/>
      <c r="BE579" s="55">
        <v>9062814.5999999996</v>
      </c>
      <c r="BF579" s="55"/>
      <c r="BG579" s="55"/>
      <c r="BH579" s="55"/>
      <c r="BI579" s="55"/>
      <c r="BJ579" s="55">
        <v>489000</v>
      </c>
      <c r="BK579" s="63">
        <v>30000</v>
      </c>
      <c r="BL579" s="64">
        <v>198185.4</v>
      </c>
      <c r="BM579" s="110">
        <f t="shared" si="163"/>
        <v>9780000</v>
      </c>
      <c r="BN579" s="55"/>
      <c r="BO579" s="55"/>
      <c r="BP579" s="55"/>
      <c r="BQ579" s="55"/>
      <c r="BR579" s="55"/>
      <c r="BS579" s="55"/>
      <c r="BT579" s="55"/>
      <c r="BU579" s="55">
        <v>9062814.5999999996</v>
      </c>
      <c r="BV579" s="55"/>
      <c r="BW579" s="55"/>
      <c r="BX579" s="55"/>
      <c r="BY579" s="55"/>
      <c r="BZ579" s="55">
        <v>489000</v>
      </c>
      <c r="CA579" s="63">
        <v>30000</v>
      </c>
      <c r="CB579" s="64">
        <v>198185.4</v>
      </c>
      <c r="CD579" s="75"/>
      <c r="CE579" s="6"/>
    </row>
    <row r="580" spans="1:84" x14ac:dyDescent="0.25">
      <c r="A580" s="105">
        <f t="shared" si="164"/>
        <v>558</v>
      </c>
      <c r="B580" s="107">
        <f t="shared" si="167"/>
        <v>99</v>
      </c>
      <c r="C580" s="53" t="s">
        <v>75</v>
      </c>
      <c r="D580" s="53" t="s">
        <v>584</v>
      </c>
      <c r="E580" s="54">
        <v>1989</v>
      </c>
      <c r="F580" s="54">
        <v>2009</v>
      </c>
      <c r="G580" s="54" t="s">
        <v>64</v>
      </c>
      <c r="H580" s="54">
        <v>9</v>
      </c>
      <c r="I580" s="54">
        <v>1</v>
      </c>
      <c r="J580" s="55">
        <v>3239.5</v>
      </c>
      <c r="K580" s="55">
        <v>2720.9</v>
      </c>
      <c r="L580" s="55">
        <v>63.8</v>
      </c>
      <c r="M580" s="56">
        <v>112</v>
      </c>
      <c r="N580" s="112">
        <v>12857035.109999999</v>
      </c>
      <c r="O580" s="55"/>
      <c r="P580" s="63"/>
      <c r="Q580" s="63"/>
      <c r="R580" s="62">
        <v>2380602.06</v>
      </c>
      <c r="S580" s="62">
        <v>10476433.050000001</v>
      </c>
      <c r="T580" s="63"/>
      <c r="U580" s="63">
        <v>4666.6216355266897</v>
      </c>
      <c r="V580" s="63">
        <v>1246.2830200640001</v>
      </c>
      <c r="W580" s="59">
        <v>2024</v>
      </c>
      <c r="X580" s="6" t="e">
        <v>#REF!</v>
      </c>
      <c r="Z580" s="62">
        <f>SUM(AA580:AO580)</f>
        <v>10076605.062258011</v>
      </c>
      <c r="AA580" s="55">
        <v>6679650.6897583101</v>
      </c>
      <c r="AB580" s="55">
        <v>0</v>
      </c>
      <c r="AC580" s="55">
        <v>1973900.91160118</v>
      </c>
      <c r="AD580" s="55">
        <v>0</v>
      </c>
      <c r="AE580" s="55">
        <v>0</v>
      </c>
      <c r="AF580" s="55"/>
      <c r="AG580" s="55">
        <v>296767.55710719503</v>
      </c>
      <c r="AH580" s="55">
        <v>0</v>
      </c>
      <c r="AI580" s="55">
        <v>0</v>
      </c>
      <c r="AJ580" s="55">
        <v>0</v>
      </c>
      <c r="AK580" s="55">
        <v>0</v>
      </c>
      <c r="AL580" s="55">
        <v>0</v>
      </c>
      <c r="AM580" s="55">
        <v>829794.50063330005</v>
      </c>
      <c r="AN580" s="63">
        <v>100766.05062258001</v>
      </c>
      <c r="AO580" s="64">
        <v>195725.352535446</v>
      </c>
      <c r="AP580" s="61">
        <f>+N580-'Приложение №2'!E580</f>
        <v>1.895412802696228E-3</v>
      </c>
      <c r="AQ580" s="65">
        <v>1978054.72</v>
      </c>
      <c r="AR580" s="3">
        <f>+(K580*13.95+L580*23.65)*12*0.85</f>
        <v>402547.33500000002</v>
      </c>
      <c r="AS580" s="3">
        <f>+(K580*13.95+L580*23.65)*12*30</f>
        <v>14207553.000000002</v>
      </c>
      <c r="AT580" s="6">
        <f t="shared" si="166"/>
        <v>-3731119.9500000011</v>
      </c>
      <c r="AU580" s="6" t="e">
        <v>#REF!</v>
      </c>
      <c r="AV580" s="6" t="e">
        <v>#REF!</v>
      </c>
      <c r="AW580" s="110">
        <f t="shared" si="162"/>
        <v>12697410.808104586</v>
      </c>
      <c r="AX580" s="55">
        <v>7935557.2128255004</v>
      </c>
      <c r="AY580" s="55">
        <v>0</v>
      </c>
      <c r="AZ580" s="55">
        <v>2345033.34739894</v>
      </c>
      <c r="BA580" s="55">
        <v>1498583.81501829</v>
      </c>
      <c r="BB580" s="55">
        <v>0</v>
      </c>
      <c r="BC580" s="55"/>
      <c r="BD580" s="55">
        <v>354186.485056417</v>
      </c>
      <c r="BE580" s="55">
        <v>0</v>
      </c>
      <c r="BF580" s="55">
        <v>0</v>
      </c>
      <c r="BG580" s="55">
        <v>0</v>
      </c>
      <c r="BH580" s="55">
        <v>0</v>
      </c>
      <c r="BI580" s="55">
        <v>0</v>
      </c>
      <c r="BJ580" s="55">
        <v>298717.92</v>
      </c>
      <c r="BK580" s="63"/>
      <c r="BL580" s="64">
        <v>265332.02780543797</v>
      </c>
      <c r="BM580" s="110">
        <f t="shared" si="163"/>
        <v>12697410.808104586</v>
      </c>
      <c r="BN580" s="55">
        <v>7935557.2128255004</v>
      </c>
      <c r="BO580" s="55">
        <v>0</v>
      </c>
      <c r="BP580" s="55">
        <v>2345033.34739894</v>
      </c>
      <c r="BQ580" s="55">
        <v>1498583.81501829</v>
      </c>
      <c r="BR580" s="55">
        <v>0</v>
      </c>
      <c r="BS580" s="55"/>
      <c r="BT580" s="55">
        <v>354186.485056417</v>
      </c>
      <c r="BU580" s="55">
        <v>0</v>
      </c>
      <c r="BV580" s="55">
        <v>0</v>
      </c>
      <c r="BW580" s="55">
        <v>0</v>
      </c>
      <c r="BX580" s="55">
        <v>0</v>
      </c>
      <c r="BY580" s="55">
        <v>0</v>
      </c>
      <c r="BZ580" s="55">
        <v>298717.92</v>
      </c>
      <c r="CA580" s="63"/>
      <c r="CB580" s="64">
        <v>265332.02780543797</v>
      </c>
      <c r="CD580" s="75"/>
      <c r="CE580" s="6"/>
      <c r="CF580" s="117"/>
    </row>
    <row r="581" spans="1:84" s="69" customFormat="1" x14ac:dyDescent="0.25">
      <c r="A581" s="105">
        <f t="shared" si="164"/>
        <v>559</v>
      </c>
      <c r="B581" s="107">
        <f t="shared" si="167"/>
        <v>100</v>
      </c>
      <c r="C581" s="53" t="s">
        <v>75</v>
      </c>
      <c r="D581" s="53" t="s">
        <v>470</v>
      </c>
      <c r="E581" s="54" t="s">
        <v>263</v>
      </c>
      <c r="F581" s="54"/>
      <c r="G581" s="54" t="s">
        <v>64</v>
      </c>
      <c r="H581" s="54" t="s">
        <v>123</v>
      </c>
      <c r="I581" s="54" t="s">
        <v>229</v>
      </c>
      <c r="J581" s="55">
        <v>3182.4</v>
      </c>
      <c r="K581" s="55">
        <v>2718.2</v>
      </c>
      <c r="L581" s="55">
        <v>0</v>
      </c>
      <c r="M581" s="56">
        <v>99</v>
      </c>
      <c r="N581" s="112">
        <v>9028218.4700000007</v>
      </c>
      <c r="O581" s="55">
        <v>0</v>
      </c>
      <c r="P581" s="63"/>
      <c r="Q581" s="63"/>
      <c r="R581" s="62">
        <v>2054828.5</v>
      </c>
      <c r="S581" s="62">
        <v>6973389.9699999997</v>
      </c>
      <c r="T581" s="63"/>
      <c r="U581" s="55">
        <v>4870.98769327849</v>
      </c>
      <c r="V581" s="55">
        <v>4870.98769327849</v>
      </c>
      <c r="W581" s="59">
        <v>2024</v>
      </c>
      <c r="X581" s="69">
        <v>1300878.49</v>
      </c>
      <c r="Y581" s="69">
        <f>+(K581*12.08+L581*20.47)*12</f>
        <v>394030.272</v>
      </c>
      <c r="AA581" s="70" t="e">
        <v>#REF!</v>
      </c>
      <c r="AD581" s="70" t="e">
        <v>#REF!</v>
      </c>
      <c r="AP581" s="61">
        <f>+N581-'Приложение №2'!E581</f>
        <v>5.6040585041046143E-3</v>
      </c>
      <c r="AQ581" s="69">
        <v>1686354.74</v>
      </c>
      <c r="AR581" s="3">
        <f>+(K581*13.29+L581*22.52)*12*0.85</f>
        <v>368473.75559999997</v>
      </c>
      <c r="AS581" s="3">
        <f>+(K581*13.29+L581*22.52)*12*30</f>
        <v>13004956.079999998</v>
      </c>
      <c r="AT581" s="6">
        <f t="shared" si="166"/>
        <v>-6031566.1099999985</v>
      </c>
      <c r="AU581" s="6" t="e">
        <v>#REF!</v>
      </c>
      <c r="AV581" s="6" t="e">
        <v>#REF!</v>
      </c>
      <c r="AW581" s="62">
        <f t="shared" si="162"/>
        <v>13240318.7478696</v>
      </c>
      <c r="AX581" s="55">
        <v>8101220.3263461301</v>
      </c>
      <c r="AY581" s="55">
        <v>0</v>
      </c>
      <c r="AZ581" s="55">
        <v>2455002.5149674499</v>
      </c>
      <c r="BA581" s="55">
        <v>1423274.5415996099</v>
      </c>
      <c r="BB581" s="55"/>
      <c r="BC581" s="55"/>
      <c r="BD581" s="55">
        <v>295198.03432807798</v>
      </c>
      <c r="BE581" s="55"/>
      <c r="BF581" s="55"/>
      <c r="BG581" s="55"/>
      <c r="BH581" s="55"/>
      <c r="BI581" s="55"/>
      <c r="BJ581" s="55">
        <v>696095.60690659599</v>
      </c>
      <c r="BK581" s="63"/>
      <c r="BL581" s="64">
        <v>269527.72372173303</v>
      </c>
      <c r="BM581" s="62">
        <f t="shared" si="163"/>
        <v>13240318.7478696</v>
      </c>
      <c r="BN581" s="55">
        <v>8101220.3263461301</v>
      </c>
      <c r="BO581" s="55">
        <v>0</v>
      </c>
      <c r="BP581" s="55">
        <v>2455002.5149674499</v>
      </c>
      <c r="BQ581" s="55">
        <v>1423274.5415996099</v>
      </c>
      <c r="BR581" s="55"/>
      <c r="BS581" s="55"/>
      <c r="BT581" s="55">
        <v>295198.03432807798</v>
      </c>
      <c r="BU581" s="55"/>
      <c r="BV581" s="55"/>
      <c r="BW581" s="55"/>
      <c r="BX581" s="55"/>
      <c r="BY581" s="55"/>
      <c r="BZ581" s="55">
        <v>696095.60690659599</v>
      </c>
      <c r="CA581" s="63"/>
      <c r="CB581" s="64">
        <v>269527.72372173303</v>
      </c>
      <c r="CD581" s="75"/>
      <c r="CE581" s="6"/>
      <c r="CF581" s="116"/>
    </row>
    <row r="582" spans="1:84" x14ac:dyDescent="0.25">
      <c r="A582" s="105">
        <f t="shared" si="164"/>
        <v>560</v>
      </c>
      <c r="B582" s="107">
        <f t="shared" si="167"/>
        <v>101</v>
      </c>
      <c r="C582" s="53" t="s">
        <v>78</v>
      </c>
      <c r="D582" s="53" t="s">
        <v>585</v>
      </c>
      <c r="E582" s="54">
        <v>1993</v>
      </c>
      <c r="F582" s="54">
        <v>2007</v>
      </c>
      <c r="G582" s="54" t="s">
        <v>64</v>
      </c>
      <c r="H582" s="54">
        <v>9</v>
      </c>
      <c r="I582" s="54">
        <v>1</v>
      </c>
      <c r="J582" s="55">
        <v>2855.54</v>
      </c>
      <c r="K582" s="55">
        <v>2487.9</v>
      </c>
      <c r="L582" s="55">
        <v>367.64</v>
      </c>
      <c r="M582" s="56">
        <v>94</v>
      </c>
      <c r="N582" s="112">
        <v>3591360</v>
      </c>
      <c r="O582" s="55"/>
      <c r="P582" s="62">
        <v>2200544.65</v>
      </c>
      <c r="Q582" s="63"/>
      <c r="R582" s="62">
        <v>1390815.35</v>
      </c>
      <c r="U582" s="63">
        <v>1443.5306885325001</v>
      </c>
      <c r="V582" s="63">
        <v>1247.2830200640001</v>
      </c>
      <c r="W582" s="59">
        <v>2024</v>
      </c>
      <c r="X582" s="6" t="e">
        <v>#REF!</v>
      </c>
      <c r="Z582" s="62">
        <f>SUM(AA582:AO582)</f>
        <v>14648835.946255352</v>
      </c>
      <c r="AA582" s="55">
        <v>5957914.8640461601</v>
      </c>
      <c r="AB582" s="55">
        <v>2383734.1772687999</v>
      </c>
      <c r="AC582" s="55">
        <v>1760621.04556076</v>
      </c>
      <c r="AD582" s="55">
        <v>1125117.5622659801</v>
      </c>
      <c r="AE582" s="55">
        <v>0</v>
      </c>
      <c r="AF582" s="55"/>
      <c r="AG582" s="55">
        <v>264701.84172454098</v>
      </c>
      <c r="AH582" s="55">
        <v>0</v>
      </c>
      <c r="AI582" s="55">
        <v>2607417.5209347298</v>
      </c>
      <c r="AJ582" s="55">
        <v>0</v>
      </c>
      <c r="AK582" s="55">
        <v>0</v>
      </c>
      <c r="AL582" s="55">
        <v>0</v>
      </c>
      <c r="AM582" s="55">
        <v>80780.05</v>
      </c>
      <c r="AN582" s="63">
        <v>160221.222434617</v>
      </c>
      <c r="AO582" s="64">
        <v>308327.66201976401</v>
      </c>
      <c r="AP582" s="61">
        <f>+N582-'Приложение №2'!E582</f>
        <v>0</v>
      </c>
      <c r="AR582" s="3">
        <f>+(K582*13.95+L582*23.65)*12*0.85</f>
        <v>442689.0882</v>
      </c>
      <c r="AS582" s="3">
        <f>+(K582*13.95+L582*23.65)*12*30</f>
        <v>15624320.760000002</v>
      </c>
      <c r="AT582" s="6">
        <f t="shared" si="166"/>
        <v>-15624320.760000002</v>
      </c>
      <c r="AU582" s="6" t="e">
        <v>#REF!</v>
      </c>
      <c r="AV582" s="6" t="e">
        <v>#REF!</v>
      </c>
      <c r="AW582" s="110">
        <f t="shared" si="162"/>
        <v>3591360.0000000023</v>
      </c>
      <c r="AX582" s="55"/>
      <c r="AY582" s="55"/>
      <c r="AZ582" s="55"/>
      <c r="BA582" s="55"/>
      <c r="BB582" s="55"/>
      <c r="BC582" s="55"/>
      <c r="BD582" s="55"/>
      <c r="BE582" s="55">
        <v>3388344.6460698801</v>
      </c>
      <c r="BF582" s="55"/>
      <c r="BG582" s="55"/>
      <c r="BH582" s="55"/>
      <c r="BI582" s="55"/>
      <c r="BJ582" s="122">
        <v>104919.11907840001</v>
      </c>
      <c r="BK582" s="63">
        <v>24000</v>
      </c>
      <c r="BL582" s="64">
        <v>74096.234851722198</v>
      </c>
      <c r="BM582" s="110">
        <f t="shared" si="163"/>
        <v>3591360.0000000023</v>
      </c>
      <c r="BN582" s="55"/>
      <c r="BO582" s="55"/>
      <c r="BP582" s="55"/>
      <c r="BQ582" s="55"/>
      <c r="BR582" s="55"/>
      <c r="BS582" s="55"/>
      <c r="BT582" s="55"/>
      <c r="BU582" s="55">
        <v>3388344.6460698801</v>
      </c>
      <c r="BV582" s="55"/>
      <c r="BW582" s="55"/>
      <c r="BX582" s="55"/>
      <c r="BY582" s="55"/>
      <c r="BZ582" s="122">
        <v>104919.11907840001</v>
      </c>
      <c r="CA582" s="63">
        <v>24000</v>
      </c>
      <c r="CB582" s="64">
        <v>74096.234851722198</v>
      </c>
      <c r="CD582" s="75"/>
      <c r="CE582" s="6"/>
    </row>
    <row r="583" spans="1:84" x14ac:dyDescent="0.25">
      <c r="A583" s="105">
        <f t="shared" si="164"/>
        <v>561</v>
      </c>
      <c r="B583" s="107">
        <f t="shared" si="167"/>
        <v>102</v>
      </c>
      <c r="C583" s="53" t="s">
        <v>75</v>
      </c>
      <c r="D583" s="53" t="s">
        <v>586</v>
      </c>
      <c r="E583" s="54">
        <v>1990</v>
      </c>
      <c r="F583" s="54">
        <v>2017</v>
      </c>
      <c r="G583" s="54" t="s">
        <v>64</v>
      </c>
      <c r="H583" s="54">
        <v>9</v>
      </c>
      <c r="I583" s="54">
        <v>1</v>
      </c>
      <c r="J583" s="55">
        <v>3220.3</v>
      </c>
      <c r="K583" s="55">
        <v>2758.2</v>
      </c>
      <c r="L583" s="55">
        <v>90</v>
      </c>
      <c r="M583" s="56">
        <v>102</v>
      </c>
      <c r="N583" s="112">
        <v>14431106.15</v>
      </c>
      <c r="O583" s="55"/>
      <c r="P583" s="63"/>
      <c r="Q583" s="63"/>
      <c r="R583" s="62">
        <v>1373583.94</v>
      </c>
      <c r="S583" s="62">
        <v>11927276.210000001</v>
      </c>
      <c r="T583" s="62">
        <v>1130246</v>
      </c>
      <c r="U583" s="55">
        <v>5066.7460644487201</v>
      </c>
      <c r="V583" s="55">
        <v>5066.7460644487201</v>
      </c>
      <c r="W583" s="59">
        <v>2024</v>
      </c>
      <c r="X583" s="6" t="e">
        <v>#REF!</v>
      </c>
      <c r="Z583" s="62">
        <f>SUM(AA583:AO583)</f>
        <v>10585519.119685266</v>
      </c>
      <c r="AA583" s="55">
        <v>6602013.7682673596</v>
      </c>
      <c r="AB583" s="55"/>
      <c r="AC583" s="55">
        <v>1950958.4558916499</v>
      </c>
      <c r="AD583" s="55"/>
      <c r="AE583" s="55">
        <v>0</v>
      </c>
      <c r="AF583" s="55"/>
      <c r="AG583" s="55">
        <v>293318.25704611302</v>
      </c>
      <c r="AH583" s="55">
        <v>0</v>
      </c>
      <c r="AI583" s="55">
        <v>0</v>
      </c>
      <c r="AJ583" s="55">
        <v>0</v>
      </c>
      <c r="AK583" s="55">
        <v>0</v>
      </c>
      <c r="AL583" s="55">
        <v>0</v>
      </c>
      <c r="AM583" s="55">
        <v>1316014.3444465699</v>
      </c>
      <c r="AN583" s="63">
        <v>144737.06182413001</v>
      </c>
      <c r="AO583" s="64">
        <v>278477.23220944498</v>
      </c>
      <c r="AP583" s="61">
        <f>+N583-'Приложение №2'!E583</f>
        <v>9.237140417098999E-3</v>
      </c>
      <c r="AQ583" s="1">
        <v>1638244.38</v>
      </c>
      <c r="AR583" s="3">
        <f>+(K583*13.29+L583*22.52)*12*0.85</f>
        <v>394569.43560000003</v>
      </c>
      <c r="AS583" s="3" t="e">
        <v>#REF!</v>
      </c>
      <c r="AT583" s="6" t="e">
        <f t="shared" si="166"/>
        <v>#REF!</v>
      </c>
      <c r="AU583" s="6" t="e">
        <v>#REF!</v>
      </c>
      <c r="AV583" s="6" t="e">
        <v>#REF!</v>
      </c>
      <c r="AW583" s="62">
        <f t="shared" si="162"/>
        <v>14431106.14076286</v>
      </c>
      <c r="AX583" s="55">
        <v>8116513.1086183796</v>
      </c>
      <c r="AY583" s="55">
        <v>0</v>
      </c>
      <c r="AZ583" s="55">
        <v>0</v>
      </c>
      <c r="BA583" s="55">
        <v>0</v>
      </c>
      <c r="BB583" s="55">
        <v>0</v>
      </c>
      <c r="BC583" s="55"/>
      <c r="BD583" s="55">
        <v>362263.06127686502</v>
      </c>
      <c r="BE583" s="55">
        <v>0</v>
      </c>
      <c r="BF583" s="55">
        <v>0</v>
      </c>
      <c r="BG583" s="55">
        <v>5643504.2994552897</v>
      </c>
      <c r="BH583" s="55">
        <v>0</v>
      </c>
      <c r="BI583" s="55">
        <v>0</v>
      </c>
      <c r="BJ583" s="55"/>
      <c r="BK583" s="63"/>
      <c r="BL583" s="64">
        <v>308825.671412325</v>
      </c>
      <c r="BM583" s="62">
        <f t="shared" si="163"/>
        <v>14431106.14076286</v>
      </c>
      <c r="BN583" s="55">
        <v>8116513.1086183796</v>
      </c>
      <c r="BO583" s="55">
        <v>0</v>
      </c>
      <c r="BP583" s="55">
        <v>0</v>
      </c>
      <c r="BQ583" s="55">
        <v>0</v>
      </c>
      <c r="BR583" s="55">
        <v>0</v>
      </c>
      <c r="BS583" s="55"/>
      <c r="BT583" s="55">
        <v>362263.06127686502</v>
      </c>
      <c r="BU583" s="55">
        <v>0</v>
      </c>
      <c r="BV583" s="55">
        <v>0</v>
      </c>
      <c r="BW583" s="55">
        <v>5643504.2994552897</v>
      </c>
      <c r="BX583" s="55">
        <v>0</v>
      </c>
      <c r="BY583" s="55">
        <v>0</v>
      </c>
      <c r="BZ583" s="55"/>
      <c r="CA583" s="63"/>
      <c r="CB583" s="64">
        <v>308825.671412325</v>
      </c>
      <c r="CD583" s="75"/>
      <c r="CE583" s="6"/>
    </row>
    <row r="584" spans="1:84" s="69" customFormat="1" x14ac:dyDescent="0.25">
      <c r="A584" s="105">
        <f t="shared" si="164"/>
        <v>562</v>
      </c>
      <c r="B584" s="107">
        <f t="shared" si="167"/>
        <v>103</v>
      </c>
      <c r="C584" s="53" t="s">
        <v>78</v>
      </c>
      <c r="D584" s="53" t="s">
        <v>587</v>
      </c>
      <c r="E584" s="54" t="s">
        <v>525</v>
      </c>
      <c r="F584" s="54"/>
      <c r="G584" s="54" t="s">
        <v>64</v>
      </c>
      <c r="H584" s="54" t="s">
        <v>123</v>
      </c>
      <c r="I584" s="54" t="s">
        <v>102</v>
      </c>
      <c r="J584" s="55">
        <v>7245.1</v>
      </c>
      <c r="K584" s="55">
        <v>6191.5</v>
      </c>
      <c r="L584" s="55">
        <v>105</v>
      </c>
      <c r="M584" s="56">
        <v>262</v>
      </c>
      <c r="N584" s="112">
        <v>7182720</v>
      </c>
      <c r="O584" s="55">
        <v>0</v>
      </c>
      <c r="P584" s="62">
        <v>4650735.08</v>
      </c>
      <c r="Q584" s="63"/>
      <c r="R584" s="62">
        <v>2531984.92</v>
      </c>
      <c r="U584" s="63">
        <v>1160.09367681499</v>
      </c>
      <c r="V584" s="63">
        <v>1248.2830200640001</v>
      </c>
      <c r="W584" s="59">
        <v>2024</v>
      </c>
      <c r="Y584" s="69">
        <f>+(K584*12.08+L584*20.47)*12</f>
        <v>923312.04000000015</v>
      </c>
      <c r="AA584" s="70" t="e">
        <v>#REF!</v>
      </c>
      <c r="AD584" s="70" t="e">
        <v>#REF!</v>
      </c>
      <c r="AP584" s="61">
        <f>+N584-'Приложение №2'!E584</f>
        <v>0</v>
      </c>
      <c r="AR584" s="3">
        <f>+(K584*13.95+L584*23.65)*12*0.85</f>
        <v>906317.68499999982</v>
      </c>
      <c r="AS584" s="3">
        <f>+(K584*13.95+L584*23.65)*12*30</f>
        <v>31987682.999999996</v>
      </c>
      <c r="AT584" s="6">
        <f t="shared" si="166"/>
        <v>-31987682.999999996</v>
      </c>
      <c r="AU584" s="6" t="e">
        <v>#REF!</v>
      </c>
      <c r="AV584" s="6" t="e">
        <v>#REF!</v>
      </c>
      <c r="AW584" s="110">
        <f t="shared" si="162"/>
        <v>7182719.9999999972</v>
      </c>
      <c r="AX584" s="55"/>
      <c r="AY584" s="55"/>
      <c r="AZ584" s="55"/>
      <c r="BA584" s="55"/>
      <c r="BB584" s="55"/>
      <c r="BC584" s="55"/>
      <c r="BD584" s="55"/>
      <c r="BE584" s="55">
        <v>6868490.3575085597</v>
      </c>
      <c r="BF584" s="55"/>
      <c r="BG584" s="55"/>
      <c r="BH584" s="55"/>
      <c r="BI584" s="55"/>
      <c r="BJ584" s="122">
        <v>140029.66941696001</v>
      </c>
      <c r="BK584" s="63">
        <v>24000</v>
      </c>
      <c r="BL584" s="64">
        <v>150199.97307447699</v>
      </c>
      <c r="BM584" s="110">
        <f t="shared" si="163"/>
        <v>7182719.9999999972</v>
      </c>
      <c r="BN584" s="55"/>
      <c r="BO584" s="55"/>
      <c r="BP584" s="55"/>
      <c r="BQ584" s="55"/>
      <c r="BR584" s="55"/>
      <c r="BS584" s="55"/>
      <c r="BT584" s="55"/>
      <c r="BU584" s="55">
        <v>6868490.3575085597</v>
      </c>
      <c r="BV584" s="55"/>
      <c r="BW584" s="55"/>
      <c r="BX584" s="55"/>
      <c r="BY584" s="55"/>
      <c r="BZ584" s="122">
        <v>140029.66941696001</v>
      </c>
      <c r="CA584" s="63">
        <v>24000</v>
      </c>
      <c r="CB584" s="64">
        <v>150199.97307447699</v>
      </c>
      <c r="CD584" s="75"/>
      <c r="CE584" s="6"/>
    </row>
    <row r="585" spans="1:84" x14ac:dyDescent="0.25">
      <c r="A585" s="105">
        <f t="shared" si="164"/>
        <v>563</v>
      </c>
      <c r="B585" s="107">
        <f t="shared" si="167"/>
        <v>104</v>
      </c>
      <c r="C585" s="53" t="s">
        <v>78</v>
      </c>
      <c r="D585" s="53" t="s">
        <v>107</v>
      </c>
      <c r="E585" s="54">
        <v>1995</v>
      </c>
      <c r="F585" s="54">
        <v>2007</v>
      </c>
      <c r="G585" s="54" t="s">
        <v>64</v>
      </c>
      <c r="H585" s="54">
        <v>9</v>
      </c>
      <c r="I585" s="54">
        <v>3</v>
      </c>
      <c r="J585" s="55">
        <v>8715.5</v>
      </c>
      <c r="K585" s="55">
        <v>7251.1</v>
      </c>
      <c r="L585" s="55">
        <v>660.9</v>
      </c>
      <c r="M585" s="56">
        <v>283</v>
      </c>
      <c r="N585" s="112">
        <v>17694269.120000001</v>
      </c>
      <c r="O585" s="55"/>
      <c r="P585" s="63"/>
      <c r="Q585" s="66"/>
      <c r="R585" s="62">
        <v>1094226.53</v>
      </c>
      <c r="S585" s="63"/>
      <c r="T585" s="108">
        <v>16600042.59</v>
      </c>
      <c r="U585" s="63">
        <v>2236.3838624873601</v>
      </c>
      <c r="V585" s="63">
        <v>2236.3838624873601</v>
      </c>
      <c r="W585" s="59">
        <v>2024</v>
      </c>
      <c r="X585" s="6" t="e">
        <f>+#REF!-#REF!</f>
        <v>#REF!</v>
      </c>
      <c r="Z585" s="62">
        <f>SUM(AA585:AO585)</f>
        <v>47583718.340731412</v>
      </c>
      <c r="AA585" s="55">
        <v>17694269.116222698</v>
      </c>
      <c r="AB585" s="55">
        <v>7079395.2241015201</v>
      </c>
      <c r="AC585" s="55">
        <v>5228826.4103661096</v>
      </c>
      <c r="AD585" s="55">
        <v>3341459.7872589598</v>
      </c>
      <c r="AE585" s="55">
        <v>0</v>
      </c>
      <c r="AF585" s="55"/>
      <c r="AG585" s="55">
        <v>786131.68027933</v>
      </c>
      <c r="AH585" s="55">
        <v>0</v>
      </c>
      <c r="AI585" s="55">
        <v>7743707.0462670401</v>
      </c>
      <c r="AJ585" s="55">
        <v>0</v>
      </c>
      <c r="AK585" s="55">
        <v>0</v>
      </c>
      <c r="AL585" s="55">
        <v>0</v>
      </c>
      <c r="AM585" s="55">
        <v>4318396.9303716496</v>
      </c>
      <c r="AN585" s="63">
        <v>475837.18340731401</v>
      </c>
      <c r="AO585" s="64">
        <v>915694.962456782</v>
      </c>
      <c r="AP585" s="61">
        <f>+N585-'Приложение №2'!E585</f>
        <v>0</v>
      </c>
      <c r="AR585" s="3">
        <f>+(K585*13.29+L585*22.52)*12*0.85</f>
        <v>1134755.9873999998</v>
      </c>
      <c r="AS585" s="3">
        <f>+(K585*13.29+L585*22.52)*12*30</f>
        <v>40050211.319999993</v>
      </c>
      <c r="AT585" s="6">
        <f t="shared" ref="AT585:AT616" si="168">+S585-AS585</f>
        <v>-40050211.319999993</v>
      </c>
      <c r="AU585" s="6" t="e">
        <v>#REF!</v>
      </c>
      <c r="AV585" s="6" t="e">
        <v>#REF!</v>
      </c>
      <c r="AW585" s="62">
        <f t="shared" si="162"/>
        <v>17694269.120000001</v>
      </c>
      <c r="AX585" s="55">
        <v>17694269.120000001</v>
      </c>
      <c r="AY585" s="55"/>
      <c r="AZ585" s="55"/>
      <c r="BA585" s="55"/>
      <c r="BB585" s="55"/>
      <c r="BC585" s="55"/>
      <c r="BD585" s="55"/>
      <c r="BE585" s="55"/>
      <c r="BF585" s="55"/>
      <c r="BG585" s="55"/>
      <c r="BH585" s="55"/>
      <c r="BI585" s="55"/>
      <c r="BJ585" s="55"/>
      <c r="BK585" s="63"/>
      <c r="BL585" s="111"/>
      <c r="BM585" s="62">
        <f t="shared" si="163"/>
        <v>17694269.120000001</v>
      </c>
      <c r="BN585" s="55">
        <v>17694269.120000001</v>
      </c>
      <c r="BO585" s="55"/>
      <c r="BP585" s="55"/>
      <c r="BQ585" s="55"/>
      <c r="BR585" s="55"/>
      <c r="BS585" s="55"/>
      <c r="BT585" s="55"/>
      <c r="BU585" s="55"/>
      <c r="BV585" s="55"/>
      <c r="BW585" s="55"/>
      <c r="BX585" s="55"/>
      <c r="BY585" s="55"/>
      <c r="BZ585" s="55"/>
      <c r="CA585" s="63"/>
      <c r="CB585" s="64"/>
      <c r="CD585" s="75"/>
      <c r="CE585" s="6"/>
    </row>
    <row r="586" spans="1:84" x14ac:dyDescent="0.25">
      <c r="A586" s="105">
        <f t="shared" si="164"/>
        <v>564</v>
      </c>
      <c r="B586" s="107">
        <f t="shared" si="167"/>
        <v>105</v>
      </c>
      <c r="C586" s="53" t="s">
        <v>67</v>
      </c>
      <c r="D586" s="53" t="s">
        <v>588</v>
      </c>
      <c r="E586" s="54">
        <v>1997</v>
      </c>
      <c r="F586" s="54">
        <v>2013</v>
      </c>
      <c r="G586" s="54" t="s">
        <v>64</v>
      </c>
      <c r="H586" s="54">
        <v>3</v>
      </c>
      <c r="I586" s="54">
        <v>2</v>
      </c>
      <c r="J586" s="55">
        <v>1304.7</v>
      </c>
      <c r="K586" s="55">
        <v>938.6</v>
      </c>
      <c r="L586" s="55">
        <v>0</v>
      </c>
      <c r="M586" s="56">
        <v>33</v>
      </c>
      <c r="N586" s="112">
        <v>9483523.7200000007</v>
      </c>
      <c r="O586" s="55"/>
      <c r="P586" s="63"/>
      <c r="Q586" s="63"/>
      <c r="R586" s="62">
        <v>561433.67000000004</v>
      </c>
      <c r="S586" s="62">
        <v>3378960</v>
      </c>
      <c r="T586" s="62">
        <v>5543130.0499999998</v>
      </c>
      <c r="U586" s="55">
        <v>10103.903388770501</v>
      </c>
      <c r="V586" s="55">
        <v>10103.903388770501</v>
      </c>
      <c r="W586" s="59">
        <v>2024</v>
      </c>
      <c r="X586" s="6" t="e">
        <v>#REF!</v>
      </c>
      <c r="Z586" s="62">
        <f>SUM(AA586:AO586)</f>
        <v>10655644.629999999</v>
      </c>
      <c r="AA586" s="55">
        <v>0</v>
      </c>
      <c r="AB586" s="55">
        <v>0</v>
      </c>
      <c r="AC586" s="55">
        <v>0</v>
      </c>
      <c r="AD586" s="55">
        <v>0</v>
      </c>
      <c r="AE586" s="55">
        <v>0</v>
      </c>
      <c r="AF586" s="55"/>
      <c r="AG586" s="55">
        <v>0</v>
      </c>
      <c r="AH586" s="55">
        <v>0</v>
      </c>
      <c r="AI586" s="55">
        <v>0</v>
      </c>
      <c r="AJ586" s="55">
        <v>0</v>
      </c>
      <c r="AK586" s="55">
        <v>9280576.3130770195</v>
      </c>
      <c r="AL586" s="55">
        <v>0</v>
      </c>
      <c r="AM586" s="55">
        <v>1065564.463</v>
      </c>
      <c r="AN586" s="63">
        <v>106556.4463</v>
      </c>
      <c r="AO586" s="64">
        <v>202947.40762298001</v>
      </c>
      <c r="AP586" s="61">
        <f>+N586-'Приложение №2'!E586</f>
        <v>-6.9999881088733673E-4</v>
      </c>
      <c r="AQ586" s="1">
        <v>465696.47</v>
      </c>
      <c r="AR586" s="3">
        <f>+(K586*10+L586*20)*12*0.85</f>
        <v>95737.2</v>
      </c>
      <c r="AS586" s="3">
        <f>+(K586*10+L586*20)*12*30</f>
        <v>3378960</v>
      </c>
      <c r="AT586" s="6">
        <f t="shared" si="168"/>
        <v>0</v>
      </c>
      <c r="AU586" s="6" t="e">
        <v>#REF!</v>
      </c>
      <c r="AV586" s="6" t="e">
        <v>#REF!</v>
      </c>
      <c r="AW586" s="62">
        <f t="shared" si="162"/>
        <v>9483523.7206999995</v>
      </c>
      <c r="AX586" s="55">
        <v>0</v>
      </c>
      <c r="AY586" s="55">
        <v>0</v>
      </c>
      <c r="AZ586" s="55">
        <v>0</v>
      </c>
      <c r="BA586" s="55">
        <v>0</v>
      </c>
      <c r="BB586" s="55">
        <v>0</v>
      </c>
      <c r="BC586" s="55"/>
      <c r="BD586" s="55"/>
      <c r="BE586" s="55">
        <v>0</v>
      </c>
      <c r="BF586" s="55">
        <v>0</v>
      </c>
      <c r="BG586" s="55">
        <v>0</v>
      </c>
      <c r="BH586" s="55">
        <v>9280576.3130770195</v>
      </c>
      <c r="BI586" s="55">
        <v>0</v>
      </c>
      <c r="BJ586" s="55"/>
      <c r="BK586" s="63"/>
      <c r="BL586" s="111">
        <v>202947.40762298001</v>
      </c>
      <c r="BM586" s="62">
        <f t="shared" si="163"/>
        <v>9483523.7206999995</v>
      </c>
      <c r="BN586" s="55">
        <v>0</v>
      </c>
      <c r="BO586" s="55">
        <v>0</v>
      </c>
      <c r="BP586" s="55">
        <v>0</v>
      </c>
      <c r="BQ586" s="55">
        <v>0</v>
      </c>
      <c r="BR586" s="55">
        <v>0</v>
      </c>
      <c r="BS586" s="55"/>
      <c r="BT586" s="55"/>
      <c r="BU586" s="55">
        <v>0</v>
      </c>
      <c r="BV586" s="55">
        <v>0</v>
      </c>
      <c r="BW586" s="55">
        <v>0</v>
      </c>
      <c r="BX586" s="55">
        <v>9280576.3130770195</v>
      </c>
      <c r="BY586" s="55">
        <v>0</v>
      </c>
      <c r="BZ586" s="55"/>
      <c r="CA586" s="63"/>
      <c r="CB586" s="64">
        <v>202947.40762298001</v>
      </c>
      <c r="CD586" s="75"/>
      <c r="CE586" s="6"/>
    </row>
    <row r="587" spans="1:84" x14ac:dyDescent="0.25">
      <c r="A587" s="105">
        <f t="shared" si="164"/>
        <v>565</v>
      </c>
      <c r="B587" s="107">
        <f t="shared" si="167"/>
        <v>106</v>
      </c>
      <c r="C587" s="53" t="s">
        <v>67</v>
      </c>
      <c r="D587" s="53" t="s">
        <v>68</v>
      </c>
      <c r="E587" s="54">
        <v>1995</v>
      </c>
      <c r="F587" s="54">
        <v>2013</v>
      </c>
      <c r="G587" s="54" t="s">
        <v>64</v>
      </c>
      <c r="H587" s="54">
        <v>3</v>
      </c>
      <c r="I587" s="54">
        <v>4</v>
      </c>
      <c r="J587" s="55">
        <v>2740.5</v>
      </c>
      <c r="K587" s="55">
        <v>1849.2</v>
      </c>
      <c r="L587" s="55">
        <v>0</v>
      </c>
      <c r="M587" s="56">
        <v>67</v>
      </c>
      <c r="N587" s="112">
        <v>18608626.18</v>
      </c>
      <c r="O587" s="55"/>
      <c r="P587" s="63"/>
      <c r="Q587" s="63"/>
      <c r="R587" s="62">
        <v>188618.4</v>
      </c>
      <c r="S587" s="62">
        <v>1070733.23</v>
      </c>
      <c r="T587" s="62">
        <v>17349274.550000001</v>
      </c>
      <c r="U587" s="55">
        <v>10063.0684504651</v>
      </c>
      <c r="V587" s="55">
        <v>10063.0684504651</v>
      </c>
      <c r="W587" s="59">
        <v>2024</v>
      </c>
      <c r="X587" s="6" t="e">
        <v>#REF!</v>
      </c>
      <c r="Z587" s="62">
        <f>SUM(AA587:AO587)</f>
        <v>20908568.740000039</v>
      </c>
      <c r="AA587" s="55">
        <v>0</v>
      </c>
      <c r="AB587" s="55">
        <v>0</v>
      </c>
      <c r="AC587" s="55">
        <v>0</v>
      </c>
      <c r="AD587" s="55">
        <v>0</v>
      </c>
      <c r="AE587" s="55">
        <v>0</v>
      </c>
      <c r="AF587" s="55"/>
      <c r="AG587" s="55">
        <v>0</v>
      </c>
      <c r="AH587" s="55">
        <v>0</v>
      </c>
      <c r="AI587" s="55">
        <v>0</v>
      </c>
      <c r="AJ587" s="55">
        <v>0</v>
      </c>
      <c r="AK587" s="55">
        <v>18210401.578377999</v>
      </c>
      <c r="AL587" s="55">
        <v>0</v>
      </c>
      <c r="AM587" s="55">
        <v>2090856.8740000001</v>
      </c>
      <c r="AN587" s="63">
        <v>209085.6874</v>
      </c>
      <c r="AO587" s="64">
        <v>398224.60022204003</v>
      </c>
      <c r="AP587" s="61">
        <f>+N587-'Приложение №2'!E587</f>
        <v>1.3999603688716888E-3</v>
      </c>
      <c r="AQ587" s="1">
        <v>908516.69</v>
      </c>
      <c r="AR587" s="3">
        <f>+(K587*10+L587*20)*12*0.85</f>
        <v>188618.4</v>
      </c>
      <c r="AS587" s="3">
        <f>+(K587*10+L587*20)*12*30-S21</f>
        <v>1070733.23104</v>
      </c>
      <c r="AT587" s="6">
        <f t="shared" si="168"/>
        <v>-1.0400000028312206E-3</v>
      </c>
      <c r="AU587" s="6" t="e">
        <v>#REF!</v>
      </c>
      <c r="AV587" s="6" t="e">
        <v>#REF!</v>
      </c>
      <c r="AW587" s="62">
        <f t="shared" si="162"/>
        <v>18608626.178600039</v>
      </c>
      <c r="AX587" s="55">
        <v>0</v>
      </c>
      <c r="AY587" s="55">
        <v>0</v>
      </c>
      <c r="AZ587" s="55">
        <v>0</v>
      </c>
      <c r="BA587" s="55">
        <v>0</v>
      </c>
      <c r="BB587" s="55">
        <v>0</v>
      </c>
      <c r="BC587" s="55"/>
      <c r="BD587" s="55"/>
      <c r="BE587" s="55">
        <v>0</v>
      </c>
      <c r="BF587" s="55">
        <v>0</v>
      </c>
      <c r="BG587" s="55">
        <v>0</v>
      </c>
      <c r="BH587" s="55">
        <v>18210401.578377999</v>
      </c>
      <c r="BI587" s="55">
        <v>0</v>
      </c>
      <c r="BJ587" s="55"/>
      <c r="BK587" s="63"/>
      <c r="BL587" s="111">
        <v>398224.60022204003</v>
      </c>
      <c r="BM587" s="62">
        <f t="shared" si="163"/>
        <v>18608626.178600039</v>
      </c>
      <c r="BN587" s="55">
        <v>0</v>
      </c>
      <c r="BO587" s="55">
        <v>0</v>
      </c>
      <c r="BP587" s="55">
        <v>0</v>
      </c>
      <c r="BQ587" s="55">
        <v>0</v>
      </c>
      <c r="BR587" s="55">
        <v>0</v>
      </c>
      <c r="BS587" s="55"/>
      <c r="BT587" s="55"/>
      <c r="BU587" s="55">
        <v>0</v>
      </c>
      <c r="BV587" s="55">
        <v>0</v>
      </c>
      <c r="BW587" s="55">
        <v>0</v>
      </c>
      <c r="BX587" s="55">
        <v>18210401.578377999</v>
      </c>
      <c r="BY587" s="55">
        <v>0</v>
      </c>
      <c r="BZ587" s="55"/>
      <c r="CA587" s="63"/>
      <c r="CB587" s="64">
        <v>398224.60022204003</v>
      </c>
      <c r="CD587" s="75"/>
      <c r="CE587" s="6"/>
    </row>
    <row r="588" spans="1:84" s="69" customFormat="1" x14ac:dyDescent="0.25">
      <c r="A588" s="105">
        <f t="shared" si="164"/>
        <v>566</v>
      </c>
      <c r="B588" s="107">
        <f t="shared" si="167"/>
        <v>107</v>
      </c>
      <c r="C588" s="53" t="s">
        <v>181</v>
      </c>
      <c r="D588" s="53" t="s">
        <v>589</v>
      </c>
      <c r="E588" s="54" t="s">
        <v>590</v>
      </c>
      <c r="F588" s="54"/>
      <c r="G588" s="54" t="s">
        <v>64</v>
      </c>
      <c r="H588" s="54" t="s">
        <v>123</v>
      </c>
      <c r="I588" s="54" t="s">
        <v>591</v>
      </c>
      <c r="J588" s="55">
        <v>20643.599999999999</v>
      </c>
      <c r="K588" s="55">
        <v>17405.5</v>
      </c>
      <c r="L588" s="55">
        <v>146.19999999999999</v>
      </c>
      <c r="M588" s="56">
        <v>665</v>
      </c>
      <c r="N588" s="112">
        <v>21614340.109999999</v>
      </c>
      <c r="O588" s="55">
        <v>0</v>
      </c>
      <c r="P588" s="63"/>
      <c r="Q588" s="63"/>
      <c r="R588" s="62">
        <v>15885425.779999999</v>
      </c>
      <c r="S588" s="62">
        <v>5728914.3300000001</v>
      </c>
      <c r="T588" s="63"/>
      <c r="U588" s="63">
        <v>1717.6955560024101</v>
      </c>
      <c r="V588" s="63">
        <v>1256.2830200640001</v>
      </c>
      <c r="W588" s="59">
        <v>2024</v>
      </c>
      <c r="X588" s="69">
        <v>8381860.3899999997</v>
      </c>
      <c r="Y588" s="69">
        <f>+(K588*12.08+L588*20.47)*12</f>
        <v>2559013.8480000002</v>
      </c>
      <c r="AA588" s="70" t="e">
        <v>#REF!</v>
      </c>
      <c r="AD588" s="70" t="e">
        <v>#REF!</v>
      </c>
      <c r="AP588" s="61">
        <f>+N588-'Приложение №2'!E588</f>
        <v>1.6000010073184967E-3</v>
      </c>
      <c r="AQ588" s="69">
        <v>13373529.359999999</v>
      </c>
      <c r="AR588" s="3">
        <f>+(K588*13.95+L588*23.65)*12*0.85</f>
        <v>2511896.4209999996</v>
      </c>
      <c r="AS588" s="3">
        <f>+(K588*13.95+L588*23.65)*12*30</f>
        <v>88655167.799999997</v>
      </c>
      <c r="AT588" s="6">
        <f t="shared" si="168"/>
        <v>-82926253.469999999</v>
      </c>
      <c r="AU588" s="6" t="e">
        <v>#REF!</v>
      </c>
      <c r="AV588" s="6" t="e">
        <v>#REF!</v>
      </c>
      <c r="AW588" s="110">
        <f t="shared" si="162"/>
        <v>29897350</v>
      </c>
      <c r="AX588" s="55"/>
      <c r="AY588" s="55"/>
      <c r="AZ588" s="55"/>
      <c r="BA588" s="55"/>
      <c r="BB588" s="55"/>
      <c r="BC588" s="55"/>
      <c r="BD588" s="55"/>
      <c r="BE588" s="55">
        <v>28087244.841600001</v>
      </c>
      <c r="BF588" s="55"/>
      <c r="BG588" s="55"/>
      <c r="BH588" s="55"/>
      <c r="BI588" s="55"/>
      <c r="BJ588" s="55">
        <v>896920.5</v>
      </c>
      <c r="BK588" s="63">
        <v>298973.5</v>
      </c>
      <c r="BL588" s="64">
        <v>614211.15839999996</v>
      </c>
      <c r="BM588" s="110">
        <f t="shared" si="163"/>
        <v>29897350</v>
      </c>
      <c r="BN588" s="55"/>
      <c r="BO588" s="55"/>
      <c r="BP588" s="55"/>
      <c r="BQ588" s="55"/>
      <c r="BR588" s="55"/>
      <c r="BS588" s="55"/>
      <c r="BT588" s="55"/>
      <c r="BU588" s="55">
        <v>28087244.841600001</v>
      </c>
      <c r="BV588" s="55"/>
      <c r="BW588" s="55"/>
      <c r="BX588" s="55"/>
      <c r="BY588" s="55"/>
      <c r="BZ588" s="55">
        <v>896920.5</v>
      </c>
      <c r="CA588" s="63">
        <v>298973.5</v>
      </c>
      <c r="CB588" s="64">
        <v>614211.15839999996</v>
      </c>
      <c r="CD588" s="75"/>
      <c r="CE588" s="6"/>
    </row>
    <row r="589" spans="1:84" x14ac:dyDescent="0.25">
      <c r="A589" s="105">
        <f t="shared" si="164"/>
        <v>567</v>
      </c>
      <c r="B589" s="107">
        <f t="shared" si="167"/>
        <v>108</v>
      </c>
      <c r="C589" s="53" t="s">
        <v>108</v>
      </c>
      <c r="D589" s="53" t="s">
        <v>592</v>
      </c>
      <c r="E589" s="54">
        <v>1985</v>
      </c>
      <c r="F589" s="54">
        <v>2016</v>
      </c>
      <c r="G589" s="54" t="s">
        <v>64</v>
      </c>
      <c r="H589" s="54">
        <v>5</v>
      </c>
      <c r="I589" s="54">
        <v>4</v>
      </c>
      <c r="J589" s="55">
        <v>3419.8</v>
      </c>
      <c r="K589" s="55">
        <v>2847.6</v>
      </c>
      <c r="L589" s="55">
        <v>0</v>
      </c>
      <c r="M589" s="56">
        <v>127</v>
      </c>
      <c r="N589" s="112">
        <v>3923178.21</v>
      </c>
      <c r="O589" s="55"/>
      <c r="P589" s="63"/>
      <c r="Q589" s="63"/>
      <c r="R589" s="62">
        <v>1959442.23</v>
      </c>
      <c r="S589" s="62">
        <v>1963735.98</v>
      </c>
      <c r="T589" s="63"/>
      <c r="U589" s="63">
        <v>1377.71393664841</v>
      </c>
      <c r="V589" s="63">
        <v>1249.2830200640001</v>
      </c>
      <c r="W589" s="59">
        <v>2024</v>
      </c>
      <c r="X589" s="6" t="e">
        <v>#REF!</v>
      </c>
      <c r="Z589" s="62">
        <f>SUM(AA589:AO589)</f>
        <v>3028949.6999999997</v>
      </c>
      <c r="AA589" s="55">
        <v>0</v>
      </c>
      <c r="AB589" s="55">
        <v>0</v>
      </c>
      <c r="AC589" s="55">
        <v>2925994.6940138</v>
      </c>
      <c r="AD589" s="55">
        <v>0</v>
      </c>
      <c r="AE589" s="55">
        <v>0</v>
      </c>
      <c r="AF589" s="55"/>
      <c r="AG589" s="55">
        <v>0</v>
      </c>
      <c r="AH589" s="55">
        <v>0</v>
      </c>
      <c r="AI589" s="55">
        <v>0</v>
      </c>
      <c r="AJ589" s="55">
        <v>0</v>
      </c>
      <c r="AK589" s="55">
        <v>0</v>
      </c>
      <c r="AL589" s="55">
        <v>0</v>
      </c>
      <c r="AM589" s="122">
        <v>41985.58</v>
      </c>
      <c r="AN589" s="55">
        <v>3280.05</v>
      </c>
      <c r="AO589" s="64">
        <v>57689.375986200001</v>
      </c>
      <c r="AP589" s="61">
        <f>+N589-'Приложение №2'!E589</f>
        <v>4.0000039152801037E-3</v>
      </c>
      <c r="AQ589" s="65">
        <v>1654464.27</v>
      </c>
      <c r="AR589" s="3">
        <f>+(K589*10.5+L589*21)*12*0.85</f>
        <v>304977.95999999996</v>
      </c>
      <c r="AS589" s="3">
        <f>+(K589*10.5+L589*21)*12*30</f>
        <v>10763928</v>
      </c>
      <c r="AT589" s="6">
        <f t="shared" si="168"/>
        <v>-8800192.0199999996</v>
      </c>
      <c r="AU589" s="6" t="e">
        <v>#REF!</v>
      </c>
      <c r="AV589" s="6" t="e">
        <v>#REF!</v>
      </c>
      <c r="AW589" s="110">
        <f t="shared" si="162"/>
        <v>3923178.205999996</v>
      </c>
      <c r="AX589" s="55">
        <v>0</v>
      </c>
      <c r="AY589" s="55">
        <v>0</v>
      </c>
      <c r="AZ589" s="55">
        <v>3847595.2246995401</v>
      </c>
      <c r="BA589" s="55">
        <v>0</v>
      </c>
      <c r="BB589" s="55">
        <v>0</v>
      </c>
      <c r="BC589" s="55"/>
      <c r="BD589" s="55"/>
      <c r="BE589" s="55">
        <v>0</v>
      </c>
      <c r="BF589" s="55">
        <v>0</v>
      </c>
      <c r="BG589" s="55">
        <v>0</v>
      </c>
      <c r="BH589" s="55">
        <v>0</v>
      </c>
      <c r="BI589" s="55">
        <v>0</v>
      </c>
      <c r="BJ589" s="122"/>
      <c r="BK589" s="55"/>
      <c r="BL589" s="64">
        <v>75582.981300455998</v>
      </c>
      <c r="BM589" s="110">
        <f t="shared" si="163"/>
        <v>3923178.205999996</v>
      </c>
      <c r="BN589" s="55">
        <v>0</v>
      </c>
      <c r="BO589" s="55">
        <v>0</v>
      </c>
      <c r="BP589" s="55">
        <v>3847595.2246995401</v>
      </c>
      <c r="BQ589" s="55">
        <v>0</v>
      </c>
      <c r="BR589" s="55">
        <v>0</v>
      </c>
      <c r="BS589" s="55"/>
      <c r="BT589" s="55"/>
      <c r="BU589" s="55">
        <v>0</v>
      </c>
      <c r="BV589" s="55">
        <v>0</v>
      </c>
      <c r="BW589" s="55">
        <v>0</v>
      </c>
      <c r="BX589" s="55">
        <v>0</v>
      </c>
      <c r="BY589" s="55">
        <v>0</v>
      </c>
      <c r="BZ589" s="122"/>
      <c r="CA589" s="55"/>
      <c r="CB589" s="64">
        <v>75582.981300455998</v>
      </c>
      <c r="CD589" s="75"/>
      <c r="CE589" s="6"/>
    </row>
    <row r="590" spans="1:84" x14ac:dyDescent="0.25">
      <c r="A590" s="105">
        <f t="shared" si="164"/>
        <v>568</v>
      </c>
      <c r="B590" s="107">
        <f t="shared" si="167"/>
        <v>109</v>
      </c>
      <c r="C590" s="53" t="s">
        <v>108</v>
      </c>
      <c r="D590" s="53" t="s">
        <v>323</v>
      </c>
      <c r="E590" s="54">
        <v>1988</v>
      </c>
      <c r="F590" s="54">
        <v>2013</v>
      </c>
      <c r="G590" s="54" t="s">
        <v>64</v>
      </c>
      <c r="H590" s="54">
        <v>2</v>
      </c>
      <c r="I590" s="54">
        <v>2</v>
      </c>
      <c r="J590" s="55">
        <v>661.79</v>
      </c>
      <c r="K590" s="55">
        <v>596.70000000000005</v>
      </c>
      <c r="L590" s="55">
        <v>0</v>
      </c>
      <c r="M590" s="56">
        <v>38</v>
      </c>
      <c r="N590" s="112">
        <v>2245191.7799999998</v>
      </c>
      <c r="O590" s="55"/>
      <c r="P590" s="63"/>
      <c r="Q590" s="63"/>
      <c r="R590" s="62">
        <v>117076.35</v>
      </c>
      <c r="S590" s="62">
        <v>1440375.04</v>
      </c>
      <c r="T590" s="57">
        <v>687740.39</v>
      </c>
      <c r="U590" s="63">
        <v>4496.17482688768</v>
      </c>
      <c r="V590" s="63">
        <v>1254.2830200640001</v>
      </c>
      <c r="W590" s="59">
        <v>2024</v>
      </c>
      <c r="X590" s="6" t="e">
        <v>#REF!</v>
      </c>
      <c r="Z590" s="62">
        <f>SUM(AA590:AO590)</f>
        <v>2270607.88</v>
      </c>
      <c r="AA590" s="55">
        <v>1303091.9754052199</v>
      </c>
      <c r="AB590" s="55">
        <v>0</v>
      </c>
      <c r="AC590" s="55">
        <v>373626.55878114002</v>
      </c>
      <c r="AD590" s="55">
        <v>318408.58904400002</v>
      </c>
      <c r="AE590" s="55">
        <v>0</v>
      </c>
      <c r="AF590" s="55"/>
      <c r="AG590" s="55">
        <v>0</v>
      </c>
      <c r="AH590" s="55">
        <v>0</v>
      </c>
      <c r="AI590" s="55">
        <v>0</v>
      </c>
      <c r="AJ590" s="55">
        <v>0</v>
      </c>
      <c r="AK590" s="55">
        <v>0</v>
      </c>
      <c r="AL590" s="55">
        <v>0</v>
      </c>
      <c r="AM590" s="55">
        <v>209145.2886</v>
      </c>
      <c r="AN590" s="63">
        <v>22706.078799999999</v>
      </c>
      <c r="AO590" s="64">
        <v>43629.389369639997</v>
      </c>
      <c r="AP590" s="61">
        <f>+N590-'Приложение №2'!E586</f>
        <v>-7238331.9407000002</v>
      </c>
      <c r="AQ590" s="1">
        <f>232648.79-31492.39</f>
        <v>201156.40000000002</v>
      </c>
      <c r="AR590" s="3">
        <f>+(K590*10.5+L590*21)*12*0.85</f>
        <v>63906.570000000007</v>
      </c>
      <c r="AS590" s="3">
        <f>+(K590*10.5+L590*21)*12*30</f>
        <v>2255526.0000000005</v>
      </c>
      <c r="AT590" s="6">
        <f t="shared" si="168"/>
        <v>-815150.96000000043</v>
      </c>
      <c r="AU590" s="6" t="e">
        <v>#REF!</v>
      </c>
      <c r="AV590" s="6" t="e">
        <v>#REF!</v>
      </c>
      <c r="AW590" s="110">
        <f t="shared" si="162"/>
        <v>2682867.5192038771</v>
      </c>
      <c r="AX590" s="55">
        <v>1551954.26</v>
      </c>
      <c r="AY590" s="55">
        <v>0</v>
      </c>
      <c r="AZ590" s="55">
        <v>437675.74</v>
      </c>
      <c r="BA590" s="55">
        <v>462948.67</v>
      </c>
      <c r="BB590" s="55">
        <v>0</v>
      </c>
      <c r="BC590" s="55"/>
      <c r="BD590" s="55">
        <v>186659.459834237</v>
      </c>
      <c r="BE590" s="55">
        <v>0</v>
      </c>
      <c r="BF590" s="55">
        <v>0</v>
      </c>
      <c r="BG590" s="55">
        <v>0</v>
      </c>
      <c r="BH590" s="55">
        <v>0</v>
      </c>
      <c r="BI590" s="55">
        <v>0</v>
      </c>
      <c r="BJ590" s="55"/>
      <c r="BK590" s="63"/>
      <c r="BL590" s="111">
        <v>43629.389369639997</v>
      </c>
      <c r="BM590" s="110">
        <f t="shared" si="163"/>
        <v>2682867.5192038771</v>
      </c>
      <c r="BN590" s="55">
        <v>1551954.26</v>
      </c>
      <c r="BO590" s="55">
        <v>0</v>
      </c>
      <c r="BP590" s="55">
        <v>437675.74</v>
      </c>
      <c r="BQ590" s="55">
        <v>462948.67</v>
      </c>
      <c r="BR590" s="55">
        <v>0</v>
      </c>
      <c r="BS590" s="55"/>
      <c r="BT590" s="55">
        <v>186659.459834237</v>
      </c>
      <c r="BU590" s="55">
        <v>0</v>
      </c>
      <c r="BV590" s="55">
        <v>0</v>
      </c>
      <c r="BW590" s="55">
        <v>0</v>
      </c>
      <c r="BX590" s="55">
        <v>0</v>
      </c>
      <c r="BY590" s="55">
        <v>0</v>
      </c>
      <c r="BZ590" s="55"/>
      <c r="CA590" s="63"/>
      <c r="CB590" s="64">
        <v>43629.389369639997</v>
      </c>
      <c r="CD590" s="75"/>
      <c r="CE590" s="6"/>
    </row>
    <row r="591" spans="1:84" x14ac:dyDescent="0.25">
      <c r="A591" s="105">
        <f t="shared" si="164"/>
        <v>569</v>
      </c>
      <c r="B591" s="107">
        <f t="shared" si="167"/>
        <v>110</v>
      </c>
      <c r="C591" s="107" t="s">
        <v>108</v>
      </c>
      <c r="D591" s="107" t="s">
        <v>119</v>
      </c>
      <c r="E591" s="128">
        <v>1963</v>
      </c>
      <c r="F591" s="128">
        <v>2013</v>
      </c>
      <c r="G591" s="128" t="s">
        <v>64</v>
      </c>
      <c r="H591" s="128">
        <v>4</v>
      </c>
      <c r="I591" s="128">
        <v>4</v>
      </c>
      <c r="J591" s="63">
        <v>5268.75</v>
      </c>
      <c r="K591" s="63">
        <v>3170.15</v>
      </c>
      <c r="L591" s="63">
        <v>2098.6</v>
      </c>
      <c r="M591" s="129">
        <v>92</v>
      </c>
      <c r="N591" s="108">
        <v>3802223.52</v>
      </c>
      <c r="O591" s="63"/>
      <c r="P591" s="63"/>
      <c r="Q591" s="63"/>
      <c r="R591" s="63"/>
      <c r="S591" s="62">
        <v>3802223.52</v>
      </c>
      <c r="T591" s="63"/>
      <c r="U591" s="63">
        <v>1029.16693988251</v>
      </c>
      <c r="V591" s="63">
        <v>1029.16693988251</v>
      </c>
      <c r="W591" s="59">
        <v>2024</v>
      </c>
      <c r="X591" s="6" t="e">
        <v>#REF!</v>
      </c>
      <c r="Z591" s="62">
        <f>SUM(AA591:AO591)</f>
        <v>55905524.456026606</v>
      </c>
      <c r="AA591" s="55">
        <v>8910375.13096359</v>
      </c>
      <c r="AB591" s="55">
        <v>3183729.7650160301</v>
      </c>
      <c r="AC591" s="55">
        <v>3374754.2381990599</v>
      </c>
      <c r="AD591" s="55">
        <v>2149419.79800305</v>
      </c>
      <c r="AE591" s="55">
        <v>1581654.1276199999</v>
      </c>
      <c r="AF591" s="55"/>
      <c r="AG591" s="55">
        <v>320562.32128199999</v>
      </c>
      <c r="AH591" s="55">
        <v>0</v>
      </c>
      <c r="AI591" s="55">
        <v>16307858.9365629</v>
      </c>
      <c r="AJ591" s="55">
        <v>0</v>
      </c>
      <c r="AK591" s="55">
        <v>8424086.4921022002</v>
      </c>
      <c r="AL591" s="55">
        <v>9161049.1317717694</v>
      </c>
      <c r="AM591" s="55">
        <v>1263665.5900000001</v>
      </c>
      <c r="AN591" s="55">
        <v>60324.08</v>
      </c>
      <c r="AO591" s="64">
        <v>1168044.8445059999</v>
      </c>
      <c r="AP591" s="61">
        <f>+N591-'Приложение №2'!E586</f>
        <v>-5681300.2006999999</v>
      </c>
      <c r="AQ591" s="6">
        <f>3051973.41-R309</f>
        <v>2297043.62</v>
      </c>
      <c r="AR591" s="3">
        <f>+(K591*10+L591*20)*12*0.85</f>
        <v>751469.7</v>
      </c>
      <c r="AS591" s="3">
        <f>+(K591*10+L591*20)*12*30-S309</f>
        <v>26006880.65349216</v>
      </c>
      <c r="AT591" s="6">
        <f t="shared" si="168"/>
        <v>-22204657.133492161</v>
      </c>
      <c r="AU591" s="6" t="e">
        <v>#REF!</v>
      </c>
      <c r="AV591" s="6" t="e">
        <v>#REF!</v>
      </c>
      <c r="AW591" s="62">
        <f t="shared" si="162"/>
        <v>5422423.3145060008</v>
      </c>
      <c r="AX591" s="55"/>
      <c r="AY591" s="55">
        <v>2634178.6800000002</v>
      </c>
      <c r="AZ591" s="55">
        <v>1620199.79</v>
      </c>
      <c r="BB591" s="55"/>
      <c r="BC591" s="55"/>
      <c r="BD591" s="55"/>
      <c r="BE591" s="55">
        <v>0</v>
      </c>
      <c r="BF591" s="55"/>
      <c r="BG591" s="55"/>
      <c r="BH591" s="55"/>
      <c r="BI591" s="55"/>
      <c r="BJ591" s="55"/>
      <c r="BK591" s="55"/>
      <c r="BL591" s="111">
        <v>1168044.8445059999</v>
      </c>
      <c r="BM591" s="62">
        <f t="shared" si="163"/>
        <v>5422423.3145060008</v>
      </c>
      <c r="BN591" s="55"/>
      <c r="BO591" s="55">
        <v>2634178.6800000002</v>
      </c>
      <c r="BP591" s="55">
        <v>1620199.79</v>
      </c>
      <c r="BR591" s="55"/>
      <c r="BS591" s="55"/>
      <c r="BT591" s="55"/>
      <c r="BU591" s="55">
        <v>0</v>
      </c>
      <c r="BV591" s="55"/>
      <c r="BW591" s="55"/>
      <c r="BX591" s="55"/>
      <c r="BY591" s="55"/>
      <c r="BZ591" s="55"/>
      <c r="CA591" s="55"/>
      <c r="CB591" s="64">
        <v>1168044.8445059999</v>
      </c>
      <c r="CD591" s="75"/>
      <c r="CE591" s="6"/>
    </row>
    <row r="592" spans="1:84" x14ac:dyDescent="0.25">
      <c r="A592" s="105">
        <f t="shared" si="164"/>
        <v>570</v>
      </c>
      <c r="B592" s="107">
        <f t="shared" si="167"/>
        <v>111</v>
      </c>
      <c r="C592" s="53" t="s">
        <v>108</v>
      </c>
      <c r="D592" s="53" t="s">
        <v>327</v>
      </c>
      <c r="E592" s="54">
        <v>1964</v>
      </c>
      <c r="F592" s="54">
        <v>2013</v>
      </c>
      <c r="G592" s="54" t="s">
        <v>64</v>
      </c>
      <c r="H592" s="54">
        <v>5</v>
      </c>
      <c r="I592" s="54">
        <v>7</v>
      </c>
      <c r="J592" s="55">
        <v>6384.4</v>
      </c>
      <c r="K592" s="55">
        <v>5253.8</v>
      </c>
      <c r="L592" s="55">
        <v>1130.5999999999999</v>
      </c>
      <c r="M592" s="56">
        <v>210</v>
      </c>
      <c r="N592" s="112">
        <v>8898125.8100000005</v>
      </c>
      <c r="O592" s="55"/>
      <c r="P592" s="63"/>
      <c r="Q592" s="63"/>
      <c r="R592" s="62">
        <v>917348.76</v>
      </c>
      <c r="S592" s="62">
        <v>7980777.0499999998</v>
      </c>
      <c r="T592" s="63"/>
      <c r="U592" s="63">
        <v>4853.3184093698701</v>
      </c>
      <c r="V592" s="63">
        <v>1258.2830200640001</v>
      </c>
      <c r="W592" s="59">
        <v>2024</v>
      </c>
      <c r="X592" s="6" t="e">
        <v>#REF!</v>
      </c>
      <c r="Z592" s="62">
        <f>SUM(AA592:AO592)</f>
        <v>31039639.368981637</v>
      </c>
      <c r="AA592" s="55">
        <v>13616559.511674</v>
      </c>
      <c r="AB592" s="55">
        <v>4892953.0885143401</v>
      </c>
      <c r="AC592" s="55">
        <v>5159278.85636512</v>
      </c>
      <c r="AD592" s="55">
        <v>3303637.3136041798</v>
      </c>
      <c r="AE592" s="55">
        <v>2454070.4593859999</v>
      </c>
      <c r="AF592" s="55"/>
      <c r="AG592" s="55">
        <v>488558.85729000001</v>
      </c>
      <c r="AH592" s="55">
        <v>0</v>
      </c>
      <c r="AI592" s="55">
        <v>0</v>
      </c>
      <c r="AJ592" s="55">
        <v>0</v>
      </c>
      <c r="AK592" s="55">
        <v>0</v>
      </c>
      <c r="AL592" s="55">
        <v>0</v>
      </c>
      <c r="AM592" s="55">
        <v>425297.73</v>
      </c>
      <c r="AN592" s="55">
        <v>45101.82</v>
      </c>
      <c r="AO592" s="64">
        <v>654181.73214800004</v>
      </c>
      <c r="AP592" s="61">
        <f>+N592-'Приложение №2'!E592</f>
        <v>2.1768175065517426E-4</v>
      </c>
      <c r="AQ592" s="65">
        <v>4163182.7</v>
      </c>
      <c r="AR592" s="3">
        <f>+(K592*10.5+L592*21)*12*0.85</f>
        <v>804856.5</v>
      </c>
      <c r="AS592" s="3">
        <f>+(K592*10.5+L592*21)*12*30</f>
        <v>28406700</v>
      </c>
      <c r="AT592" s="6">
        <f t="shared" si="168"/>
        <v>-20425922.949999999</v>
      </c>
      <c r="AU592" s="6" t="e">
        <v>#REF!</v>
      </c>
      <c r="AV592" s="6" t="e">
        <v>#REF!</v>
      </c>
      <c r="AW592" s="110">
        <f t="shared" si="162"/>
        <v>25498364.259147439</v>
      </c>
      <c r="AX592" s="55"/>
      <c r="AY592" s="55">
        <v>4892953.0885143401</v>
      </c>
      <c r="AZ592" s="55">
        <v>5159278.85636512</v>
      </c>
      <c r="BA592" s="55">
        <v>3303637.3136041798</v>
      </c>
      <c r="BB592" s="55"/>
      <c r="BC592" s="55"/>
      <c r="BD592" s="55"/>
      <c r="BE592" s="55">
        <v>0</v>
      </c>
      <c r="BF592" s="55">
        <v>11343089.619999999</v>
      </c>
      <c r="BG592" s="55">
        <v>0</v>
      </c>
      <c r="BH592" s="55">
        <v>0</v>
      </c>
      <c r="BI592" s="55">
        <v>0</v>
      </c>
      <c r="BJ592" s="55">
        <v>596430.70649999997</v>
      </c>
      <c r="BK592" s="55">
        <v>24992.426500000001</v>
      </c>
      <c r="BL592" s="111">
        <v>177982.24766379999</v>
      </c>
      <c r="BM592" s="110">
        <f t="shared" si="163"/>
        <v>25498364.259147439</v>
      </c>
      <c r="BN592" s="55"/>
      <c r="BO592" s="55">
        <v>4892953.0885143401</v>
      </c>
      <c r="BP592" s="55">
        <v>5159278.85636512</v>
      </c>
      <c r="BQ592" s="55">
        <v>3303637.3136041798</v>
      </c>
      <c r="BR592" s="55"/>
      <c r="BS592" s="55"/>
      <c r="BT592" s="55"/>
      <c r="BU592" s="55">
        <v>0</v>
      </c>
      <c r="BV592" s="55">
        <v>11343089.619999999</v>
      </c>
      <c r="BW592" s="55">
        <v>0</v>
      </c>
      <c r="BX592" s="55">
        <v>0</v>
      </c>
      <c r="BY592" s="55">
        <v>0</v>
      </c>
      <c r="BZ592" s="55">
        <v>596430.70649999997</v>
      </c>
      <c r="CA592" s="55">
        <v>24992.426500000001</v>
      </c>
      <c r="CB592" s="64">
        <v>177982.24766379999</v>
      </c>
      <c r="CD592" s="75"/>
      <c r="CE592" s="6"/>
    </row>
    <row r="593" spans="1:84" s="69" customFormat="1" x14ac:dyDescent="0.25">
      <c r="A593" s="105">
        <f t="shared" si="164"/>
        <v>571</v>
      </c>
      <c r="B593" s="107">
        <f t="shared" si="167"/>
        <v>112</v>
      </c>
      <c r="C593" s="53" t="s">
        <v>108</v>
      </c>
      <c r="D593" s="53" t="s">
        <v>329</v>
      </c>
      <c r="E593" s="54">
        <v>1959</v>
      </c>
      <c r="F593" s="54"/>
      <c r="G593" s="54" t="s">
        <v>64</v>
      </c>
      <c r="H593" s="54">
        <v>4</v>
      </c>
      <c r="I593" s="54">
        <v>3</v>
      </c>
      <c r="J593" s="55">
        <v>2378.1999999999998</v>
      </c>
      <c r="K593" s="55">
        <v>1790.7</v>
      </c>
      <c r="L593" s="55">
        <v>587.5</v>
      </c>
      <c r="M593" s="56">
        <v>74</v>
      </c>
      <c r="N593" s="112">
        <v>1171216.6200000001</v>
      </c>
      <c r="O593" s="55"/>
      <c r="P593" s="63"/>
      <c r="Q593" s="63"/>
      <c r="R593" s="62">
        <v>332025.09000000003</v>
      </c>
      <c r="S593" s="62">
        <v>839191.53</v>
      </c>
      <c r="T593" s="63"/>
      <c r="U593" s="63">
        <v>654.05518512313597</v>
      </c>
      <c r="V593" s="63">
        <v>1173.2830200640001</v>
      </c>
      <c r="W593" s="59">
        <v>2024</v>
      </c>
      <c r="AA593" s="70"/>
      <c r="AD593" s="70"/>
      <c r="AP593" s="61">
        <f>+N593-'Приложение №2'!E593</f>
        <v>0</v>
      </c>
      <c r="AQ593" s="73">
        <f>863803.68-R243</f>
        <v>-45669.719999999972</v>
      </c>
      <c r="AR593" s="3">
        <f>+(K593*13.29+L593*22.52)*12*0.85</f>
        <v>377694.81060000003</v>
      </c>
      <c r="AS593" s="3">
        <f>+(K593*10+L593*20)*12*30-S243</f>
        <v>8077030.2799999993</v>
      </c>
      <c r="AT593" s="6">
        <f t="shared" si="168"/>
        <v>-7237838.7499999991</v>
      </c>
      <c r="AW593" s="62">
        <f t="shared" si="162"/>
        <v>1171216.6200000001</v>
      </c>
      <c r="AX593" s="62"/>
      <c r="AY593" s="62">
        <v>1171216.6200000001</v>
      </c>
      <c r="AZ593" s="62"/>
      <c r="BA593" s="62"/>
      <c r="BB593" s="62"/>
      <c r="BC593" s="62"/>
      <c r="BD593" s="62"/>
      <c r="BE593" s="62"/>
      <c r="BF593" s="62"/>
      <c r="BG593" s="62"/>
      <c r="BH593" s="62"/>
      <c r="BI593" s="62"/>
      <c r="BJ593" s="62"/>
      <c r="BK593" s="62"/>
      <c r="BL593" s="127"/>
      <c r="BM593" s="62">
        <f t="shared" si="163"/>
        <v>1171216.6200000001</v>
      </c>
      <c r="BN593" s="62"/>
      <c r="BO593" s="62">
        <v>1171216.6200000001</v>
      </c>
      <c r="BP593" s="62"/>
      <c r="BQ593" s="62"/>
      <c r="BR593" s="62"/>
      <c r="BS593" s="62"/>
      <c r="BT593" s="62"/>
      <c r="BU593" s="62"/>
      <c r="BV593" s="62"/>
      <c r="BW593" s="62"/>
      <c r="BX593" s="62"/>
      <c r="BY593" s="62"/>
      <c r="BZ593" s="62"/>
      <c r="CA593" s="62"/>
      <c r="CB593" s="127"/>
      <c r="CD593" s="75"/>
      <c r="CE593" s="6"/>
    </row>
    <row r="594" spans="1:84" x14ac:dyDescent="0.25">
      <c r="A594" s="105">
        <f t="shared" si="164"/>
        <v>572</v>
      </c>
      <c r="B594" s="107">
        <f t="shared" si="167"/>
        <v>113</v>
      </c>
      <c r="C594" s="107" t="s">
        <v>108</v>
      </c>
      <c r="D594" s="107" t="s">
        <v>126</v>
      </c>
      <c r="E594" s="54">
        <v>1968</v>
      </c>
      <c r="F594" s="54">
        <v>2013</v>
      </c>
      <c r="G594" s="54" t="s">
        <v>64</v>
      </c>
      <c r="H594" s="54">
        <v>5</v>
      </c>
      <c r="I594" s="54">
        <v>4</v>
      </c>
      <c r="J594" s="55">
        <v>3228.9</v>
      </c>
      <c r="K594" s="55">
        <v>2518.9</v>
      </c>
      <c r="L594" s="55">
        <v>710</v>
      </c>
      <c r="M594" s="56">
        <v>136</v>
      </c>
      <c r="N594" s="108">
        <v>7071693.6900000004</v>
      </c>
      <c r="O594" s="63"/>
      <c r="P594" s="63"/>
      <c r="Q594" s="63"/>
      <c r="R594" s="62">
        <v>466115.87</v>
      </c>
      <c r="S594" s="62">
        <v>1526528.96</v>
      </c>
      <c r="T594" s="62">
        <v>5079048.8600000003</v>
      </c>
      <c r="U594" s="63">
        <v>9513.9106089427696</v>
      </c>
      <c r="V594" s="63">
        <v>1259.2830200640001</v>
      </c>
      <c r="W594" s="59">
        <v>2024</v>
      </c>
      <c r="X594" s="6" t="e">
        <v>#REF!</v>
      </c>
      <c r="Z594" s="62">
        <f t="shared" ref="Z594:Z603" si="169">SUM(AA594:AO594)</f>
        <v>27107198.400000002</v>
      </c>
      <c r="AA594" s="55">
        <v>5940143.1063865796</v>
      </c>
      <c r="AB594" s="55">
        <v>2116717.1923795799</v>
      </c>
      <c r="AC594" s="55">
        <v>2211498.4827243001</v>
      </c>
      <c r="AD594" s="55">
        <v>1384537.88247348</v>
      </c>
      <c r="AE594" s="55">
        <v>847110.81731472001</v>
      </c>
      <c r="AF594" s="55"/>
      <c r="AG594" s="55">
        <v>227939.55009504</v>
      </c>
      <c r="AH594" s="55">
        <v>0</v>
      </c>
      <c r="AI594" s="55">
        <v>10859485.412210399</v>
      </c>
      <c r="AJ594" s="55">
        <v>0</v>
      </c>
      <c r="AK594" s="55">
        <v>0</v>
      </c>
      <c r="AL594" s="55">
        <v>0</v>
      </c>
      <c r="AM594" s="55">
        <v>2732884.5975000001</v>
      </c>
      <c r="AN594" s="63">
        <v>271071.984</v>
      </c>
      <c r="AO594" s="64">
        <v>515809.3749159</v>
      </c>
      <c r="AP594" s="61">
        <f>+N594-'Приложение №2'!E587</f>
        <v>-11536932.488600038</v>
      </c>
      <c r="AQ594" s="6">
        <f>2448991.46-R317</f>
        <v>2205991.81</v>
      </c>
      <c r="AR594" s="3">
        <f>+(K594*10.5+L594*21)*12*0.85</f>
        <v>421856.18999999994</v>
      </c>
      <c r="AS594" s="3">
        <f>+(K594*10.5+L594*21)*12*30</f>
        <v>14889041.999999998</v>
      </c>
      <c r="AT594" s="6">
        <f t="shared" si="168"/>
        <v>-13362513.039999999</v>
      </c>
      <c r="AU594" s="6" t="e">
        <v>#REF!</v>
      </c>
      <c r="AV594" s="6" t="e">
        <v>#REF!</v>
      </c>
      <c r="AW594" s="110">
        <f t="shared" si="162"/>
        <v>23964589.43286594</v>
      </c>
      <c r="AX594" s="55">
        <v>6033410.3300000001</v>
      </c>
      <c r="AY594" s="55">
        <v>2116717.1923795799</v>
      </c>
      <c r="AZ594" s="55">
        <v>2211498.4827243001</v>
      </c>
      <c r="BA594" s="55">
        <v>2020165.83</v>
      </c>
      <c r="BB594" s="55"/>
      <c r="BC594" s="55"/>
      <c r="BD594" s="55">
        <v>227939.55009504</v>
      </c>
      <c r="BE594" s="55">
        <v>0</v>
      </c>
      <c r="BF594" s="55">
        <v>10859485.412210399</v>
      </c>
      <c r="BG594" s="55">
        <v>0</v>
      </c>
      <c r="BH594" s="55">
        <v>0</v>
      </c>
      <c r="BI594" s="55">
        <v>0</v>
      </c>
      <c r="BJ594" s="55"/>
      <c r="BK594" s="63"/>
      <c r="BL594" s="111">
        <v>495372.63545662002</v>
      </c>
      <c r="BM594" s="110">
        <f t="shared" si="163"/>
        <v>22460885.300655544</v>
      </c>
      <c r="BN594" s="55">
        <v>6033410.3300000001</v>
      </c>
      <c r="BO594" s="55">
        <v>2116717.1923795799</v>
      </c>
      <c r="BP594" s="55">
        <v>2211498.4827243001</v>
      </c>
      <c r="BQ594" s="55">
        <v>2020165.83</v>
      </c>
      <c r="BR594" s="55"/>
      <c r="BS594" s="55"/>
      <c r="BT594" s="55">
        <v>227939.55009504</v>
      </c>
      <c r="BU594" s="55">
        <v>0</v>
      </c>
      <c r="BV594" s="118">
        <v>9355781.2799999993</v>
      </c>
      <c r="BW594" s="55">
        <v>0</v>
      </c>
      <c r="BX594" s="55">
        <v>0</v>
      </c>
      <c r="BY594" s="55">
        <v>0</v>
      </c>
      <c r="BZ594" s="55"/>
      <c r="CA594" s="63"/>
      <c r="CB594" s="64">
        <v>495372.63545662002</v>
      </c>
      <c r="CD594" s="75"/>
      <c r="CE594" s="6"/>
    </row>
    <row r="595" spans="1:84" x14ac:dyDescent="0.25">
      <c r="A595" s="105">
        <f t="shared" si="164"/>
        <v>573</v>
      </c>
      <c r="B595" s="107">
        <f t="shared" si="167"/>
        <v>114</v>
      </c>
      <c r="C595" s="53" t="s">
        <v>108</v>
      </c>
      <c r="D595" s="53" t="s">
        <v>127</v>
      </c>
      <c r="E595" s="54">
        <v>1965</v>
      </c>
      <c r="F595" s="54">
        <v>2005</v>
      </c>
      <c r="G595" s="54" t="s">
        <v>64</v>
      </c>
      <c r="H595" s="54">
        <v>4</v>
      </c>
      <c r="I595" s="54">
        <v>2</v>
      </c>
      <c r="J595" s="55">
        <v>1948.5</v>
      </c>
      <c r="K595" s="55">
        <v>1410</v>
      </c>
      <c r="L595" s="55">
        <v>537.70000000000005</v>
      </c>
      <c r="M595" s="56">
        <v>38</v>
      </c>
      <c r="N595" s="112">
        <v>5223518.5199999996</v>
      </c>
      <c r="O595" s="55"/>
      <c r="P595" s="63"/>
      <c r="Q595" s="63"/>
      <c r="R595" s="62">
        <v>784502.32</v>
      </c>
      <c r="S595" s="62">
        <v>4439016.2</v>
      </c>
      <c r="T595" s="63"/>
      <c r="U595" s="55">
        <v>2681.89070539878</v>
      </c>
      <c r="V595" s="55">
        <v>2681.89070539878</v>
      </c>
      <c r="W595" s="59">
        <v>2024</v>
      </c>
      <c r="X595" s="6" t="e">
        <v>#REF!</v>
      </c>
      <c r="Z595" s="62">
        <f t="shared" si="169"/>
        <v>10380935.740000002</v>
      </c>
      <c r="AA595" s="55">
        <v>4172919.5503249802</v>
      </c>
      <c r="AB595" s="55">
        <v>1486982.7864103799</v>
      </c>
      <c r="AC595" s="55">
        <v>1553566.1571465</v>
      </c>
      <c r="AD595" s="55">
        <v>972630.63727284002</v>
      </c>
      <c r="AE595" s="55">
        <v>595090.92894678004</v>
      </c>
      <c r="AF595" s="55"/>
      <c r="AG595" s="55">
        <v>160126.34455524001</v>
      </c>
      <c r="AH595" s="55">
        <v>0</v>
      </c>
      <c r="AI595" s="55">
        <v>0</v>
      </c>
      <c r="AJ595" s="55">
        <v>0</v>
      </c>
      <c r="AK595" s="55">
        <v>0</v>
      </c>
      <c r="AL595" s="55">
        <v>0</v>
      </c>
      <c r="AM595" s="55">
        <v>1140281.4974</v>
      </c>
      <c r="AN595" s="63">
        <v>103809.35739999999</v>
      </c>
      <c r="AO595" s="64">
        <v>195528.48054327999</v>
      </c>
      <c r="AP595" s="61">
        <f>+N595-'Приложение №2'!E595</f>
        <v>-6.9052129983901978E-3</v>
      </c>
      <c r="AQ595" s="6">
        <f>945052.78-R406</f>
        <v>945052.78</v>
      </c>
      <c r="AR595" s="3">
        <f>+(K595*10+L595*20)*12*0.85</f>
        <v>253510.8</v>
      </c>
      <c r="AS595" s="3">
        <f>+(K595*10+L595*20)*12*30-S406</f>
        <v>8065498.2528241873</v>
      </c>
      <c r="AT595" s="6">
        <f t="shared" si="168"/>
        <v>-3626482.0528241871</v>
      </c>
      <c r="AU595" s="6" t="e">
        <v>#REF!</v>
      </c>
      <c r="AV595" s="6" t="e">
        <v>#REF!</v>
      </c>
      <c r="AW595" s="62">
        <f t="shared" si="162"/>
        <v>5223518.5269052126</v>
      </c>
      <c r="AX595" s="55"/>
      <c r="AY595" s="55">
        <v>2457065.2679873998</v>
      </c>
      <c r="AZ595" s="55"/>
      <c r="BA595" s="55">
        <v>2053849.9317419999</v>
      </c>
      <c r="BB595" s="55">
        <v>631577.05000000005</v>
      </c>
      <c r="BC595" s="55"/>
      <c r="BD595" s="55"/>
      <c r="BE595" s="55"/>
      <c r="BF595" s="55"/>
      <c r="BG595" s="55">
        <v>0</v>
      </c>
      <c r="BH595" s="55">
        <v>0</v>
      </c>
      <c r="BI595" s="55">
        <v>0</v>
      </c>
      <c r="BJ595" s="55"/>
      <c r="BK595" s="63"/>
      <c r="BL595" s="64">
        <v>81026.2771758132</v>
      </c>
      <c r="BM595" s="62">
        <f t="shared" si="163"/>
        <v>5223518.5269052126</v>
      </c>
      <c r="BN595" s="55"/>
      <c r="BO595" s="55">
        <v>2457065.2679873998</v>
      </c>
      <c r="BP595" s="55"/>
      <c r="BQ595" s="55">
        <v>2053849.9317419999</v>
      </c>
      <c r="BR595" s="55">
        <v>631577.05000000005</v>
      </c>
      <c r="BS595" s="55"/>
      <c r="BT595" s="55"/>
      <c r="BU595" s="55"/>
      <c r="BV595" s="55"/>
      <c r="BW595" s="55">
        <v>0</v>
      </c>
      <c r="BX595" s="55">
        <v>0</v>
      </c>
      <c r="BY595" s="55">
        <v>0</v>
      </c>
      <c r="BZ595" s="55"/>
      <c r="CA595" s="63"/>
      <c r="CB595" s="64">
        <v>81026.2771758132</v>
      </c>
      <c r="CD595" s="75"/>
      <c r="CE595" s="6"/>
    </row>
    <row r="596" spans="1:84" x14ac:dyDescent="0.25">
      <c r="A596" s="105">
        <f t="shared" si="164"/>
        <v>574</v>
      </c>
      <c r="B596" s="107">
        <f t="shared" si="167"/>
        <v>115</v>
      </c>
      <c r="C596" s="107" t="s">
        <v>108</v>
      </c>
      <c r="D596" s="107" t="s">
        <v>129</v>
      </c>
      <c r="E596" s="128">
        <v>1989</v>
      </c>
      <c r="F596" s="128">
        <v>2017</v>
      </c>
      <c r="G596" s="128" t="s">
        <v>64</v>
      </c>
      <c r="H596" s="128">
        <v>9</v>
      </c>
      <c r="I596" s="128">
        <v>3</v>
      </c>
      <c r="J596" s="63">
        <v>7106.9</v>
      </c>
      <c r="K596" s="63">
        <v>6247.4</v>
      </c>
      <c r="L596" s="63">
        <v>0</v>
      </c>
      <c r="M596" s="129">
        <v>249</v>
      </c>
      <c r="N596" s="108">
        <v>12736306.48</v>
      </c>
      <c r="O596" s="63"/>
      <c r="P596" s="62">
        <v>316550.26</v>
      </c>
      <c r="Q596" s="63"/>
      <c r="R596" s="62">
        <v>974391.9</v>
      </c>
      <c r="S596" s="62">
        <v>7232831.8099999996</v>
      </c>
      <c r="T596" s="62">
        <v>4212532.51</v>
      </c>
      <c r="U596" s="63">
        <v>7522.6876761892399</v>
      </c>
      <c r="V596" s="63">
        <v>7522.6876761892399</v>
      </c>
      <c r="W596" s="59">
        <v>2024</v>
      </c>
      <c r="X596" s="6" t="e">
        <v>#REF!</v>
      </c>
      <c r="Z596" s="62">
        <f t="shared" si="169"/>
        <v>25881031.239999998</v>
      </c>
      <c r="AA596" s="55"/>
      <c r="AB596" s="55"/>
      <c r="AC596" s="55"/>
      <c r="AD596" s="55"/>
      <c r="AE596" s="55">
        <v>0</v>
      </c>
      <c r="AF596" s="55"/>
      <c r="AG596" s="55"/>
      <c r="AH596" s="55">
        <v>0</v>
      </c>
      <c r="AI596" s="55"/>
      <c r="AJ596" s="55">
        <v>0</v>
      </c>
      <c r="AK596" s="55">
        <v>25881031.239999998</v>
      </c>
      <c r="AL596" s="55">
        <v>0</v>
      </c>
      <c r="AM596" s="55"/>
      <c r="AN596" s="63"/>
      <c r="AO596" s="64"/>
      <c r="AP596" s="61">
        <f>+N596-'Приложение №2'!E593</f>
        <v>11565089.859999999</v>
      </c>
      <c r="AQ596" s="1">
        <v>2787898.61</v>
      </c>
      <c r="AR596" s="3">
        <f>+(K596*13.29+L596*22.52)*12*0.85</f>
        <v>846885.04919999989</v>
      </c>
      <c r="AS596" s="3">
        <f>+(K596*13.29+L596*22.52)*12*30-131853.4</f>
        <v>29758207.16</v>
      </c>
      <c r="AT596" s="6">
        <f t="shared" si="168"/>
        <v>-22525375.350000001</v>
      </c>
      <c r="AU596" s="6" t="e">
        <v>#REF!</v>
      </c>
      <c r="AV596" s="6" t="e">
        <v>#REF!</v>
      </c>
      <c r="AW596" s="62">
        <f t="shared" si="162"/>
        <v>46997238.988224618</v>
      </c>
      <c r="AX596" s="55">
        <v>4565506.96</v>
      </c>
      <c r="AY596" s="55">
        <v>0</v>
      </c>
      <c r="AZ596" s="55">
        <v>1227624.8600000001</v>
      </c>
      <c r="BA596" s="55"/>
      <c r="BB596" s="55">
        <v>0</v>
      </c>
      <c r="BC596" s="55"/>
      <c r="BD596" s="55"/>
      <c r="BE596" s="55">
        <v>0</v>
      </c>
      <c r="BF596" s="55"/>
      <c r="BG596" s="55">
        <v>0</v>
      </c>
      <c r="BH596" s="55">
        <v>40313035.834008001</v>
      </c>
      <c r="BI596" s="55">
        <v>0</v>
      </c>
      <c r="BJ596" s="55"/>
      <c r="BK596" s="63"/>
      <c r="BL596" s="111">
        <v>891071.33421661996</v>
      </c>
      <c r="BM596" s="62">
        <f t="shared" si="163"/>
        <v>20197834.85421662</v>
      </c>
      <c r="BN596" s="118">
        <v>6402530.3799999999</v>
      </c>
      <c r="BO596" s="55">
        <v>0</v>
      </c>
      <c r="BP596" s="55">
        <v>1227624.8600000001</v>
      </c>
      <c r="BQ596" s="55"/>
      <c r="BR596" s="55">
        <v>0</v>
      </c>
      <c r="BS596" s="55"/>
      <c r="BT596" s="55"/>
      <c r="BU596" s="55">
        <v>0</v>
      </c>
      <c r="BV596" s="55"/>
      <c r="BW596" s="55">
        <v>0</v>
      </c>
      <c r="BX596" s="118">
        <v>11676608.279999999</v>
      </c>
      <c r="BY596" s="55">
        <v>0</v>
      </c>
      <c r="BZ596" s="55"/>
      <c r="CA596" s="63"/>
      <c r="CB596" s="64">
        <v>891071.33421661996</v>
      </c>
      <c r="CD596" s="75"/>
      <c r="CE596" s="6"/>
    </row>
    <row r="597" spans="1:84" x14ac:dyDescent="0.25">
      <c r="A597" s="105">
        <f t="shared" si="164"/>
        <v>575</v>
      </c>
      <c r="B597" s="107">
        <f t="shared" si="167"/>
        <v>116</v>
      </c>
      <c r="C597" s="107" t="s">
        <v>108</v>
      </c>
      <c r="D597" s="107" t="s">
        <v>130</v>
      </c>
      <c r="E597" s="128">
        <v>1989</v>
      </c>
      <c r="F597" s="128">
        <v>2017</v>
      </c>
      <c r="G597" s="128" t="s">
        <v>64</v>
      </c>
      <c r="H597" s="128">
        <v>9</v>
      </c>
      <c r="I597" s="128">
        <v>3</v>
      </c>
      <c r="J597" s="63">
        <v>8049.4</v>
      </c>
      <c r="K597" s="63">
        <v>6639.6</v>
      </c>
      <c r="L597" s="63">
        <v>0</v>
      </c>
      <c r="M597" s="129">
        <v>258</v>
      </c>
      <c r="N597" s="108">
        <v>2354895.6800000002</v>
      </c>
      <c r="O597" s="63"/>
      <c r="P597" s="63"/>
      <c r="Q597" s="63"/>
      <c r="R597" s="63"/>
      <c r="S597" s="62">
        <v>2354895.6800000002</v>
      </c>
      <c r="T597" s="63"/>
      <c r="U597" s="63">
        <v>1291.17205516794</v>
      </c>
      <c r="V597" s="63">
        <v>1291.17205516794</v>
      </c>
      <c r="W597" s="59">
        <v>2024</v>
      </c>
      <c r="X597" s="6" t="e">
        <v>#REF!</v>
      </c>
      <c r="Z597" s="62">
        <f t="shared" si="169"/>
        <v>34535107.586130932</v>
      </c>
      <c r="AA597" s="55">
        <v>9503098.7698319405</v>
      </c>
      <c r="AB597" s="55">
        <v>0</v>
      </c>
      <c r="AC597" s="55">
        <v>6138860.8976629199</v>
      </c>
      <c r="AD597" s="55">
        <v>2958309.3156556799</v>
      </c>
      <c r="AE597" s="55">
        <v>0</v>
      </c>
      <c r="AF597" s="55"/>
      <c r="AG597" s="55">
        <v>715245.76767840004</v>
      </c>
      <c r="AH597" s="55">
        <v>0</v>
      </c>
      <c r="AI597" s="55">
        <v>5352142.2195779998</v>
      </c>
      <c r="AJ597" s="55">
        <v>0</v>
      </c>
      <c r="AK597" s="55"/>
      <c r="AL597" s="55">
        <v>0</v>
      </c>
      <c r="AM597" s="55">
        <v>7589459.6135999998</v>
      </c>
      <c r="AN597" s="63">
        <v>782532.36640000006</v>
      </c>
      <c r="AO597" s="64">
        <v>1495458.6357239999</v>
      </c>
      <c r="AP597" s="61">
        <f>+N597-'Приложение №2'!E599</f>
        <v>-3253944.3604917689</v>
      </c>
      <c r="AQ597" s="6">
        <f>4261157.78-R419</f>
        <v>3261649.8090994004</v>
      </c>
      <c r="AR597" s="3">
        <f>+(K597*13.29+L597*22.52)*12*0.85</f>
        <v>900050.89679999999</v>
      </c>
      <c r="AS597" s="3">
        <f>+(K597*13.29+L597*22.52)*12*30-14694406.85-S419</f>
        <v>17072095.390000001</v>
      </c>
      <c r="AT597" s="6">
        <f t="shared" si="168"/>
        <v>-14717199.710000001</v>
      </c>
      <c r="AW597" s="62">
        <f t="shared" si="162"/>
        <v>8572865.9774930608</v>
      </c>
      <c r="AX597" s="55">
        <v>3795804.42</v>
      </c>
      <c r="AY597" s="55">
        <v>0</v>
      </c>
      <c r="AZ597" s="55">
        <v>1815463.98</v>
      </c>
      <c r="BA597" s="55">
        <v>2422165.88</v>
      </c>
      <c r="BB597" s="55">
        <v>0</v>
      </c>
      <c r="BC597" s="55"/>
      <c r="BD597" s="55"/>
      <c r="BE597" s="55">
        <v>0</v>
      </c>
      <c r="BF597" s="55"/>
      <c r="BG597" s="55">
        <v>0</v>
      </c>
      <c r="BH597" s="55"/>
      <c r="BI597" s="55">
        <v>0</v>
      </c>
      <c r="BJ597" s="55"/>
      <c r="BK597" s="63"/>
      <c r="BL597" s="111">
        <v>539431.69749306003</v>
      </c>
      <c r="BM597" s="62">
        <f t="shared" si="163"/>
        <v>8572865.9774930608</v>
      </c>
      <c r="BN597" s="55">
        <v>3795804.42</v>
      </c>
      <c r="BO597" s="55">
        <v>0</v>
      </c>
      <c r="BP597" s="55">
        <v>1815463.98</v>
      </c>
      <c r="BQ597" s="55">
        <v>2422165.88</v>
      </c>
      <c r="BR597" s="55">
        <v>0</v>
      </c>
      <c r="BS597" s="55"/>
      <c r="BT597" s="55"/>
      <c r="BU597" s="55">
        <v>0</v>
      </c>
      <c r="BV597" s="55"/>
      <c r="BW597" s="55">
        <v>0</v>
      </c>
      <c r="BX597" s="55"/>
      <c r="BY597" s="55">
        <v>0</v>
      </c>
      <c r="BZ597" s="55"/>
      <c r="CA597" s="63"/>
      <c r="CB597" s="64">
        <v>539431.69749306003</v>
      </c>
      <c r="CD597" s="75"/>
      <c r="CE597" s="6"/>
    </row>
    <row r="598" spans="1:84" x14ac:dyDescent="0.25">
      <c r="A598" s="105">
        <f t="shared" si="164"/>
        <v>576</v>
      </c>
      <c r="B598" s="107">
        <f t="shared" si="167"/>
        <v>117</v>
      </c>
      <c r="C598" s="107" t="s">
        <v>108</v>
      </c>
      <c r="D598" s="107" t="s">
        <v>131</v>
      </c>
      <c r="E598" s="128">
        <v>1994</v>
      </c>
      <c r="F598" s="128">
        <v>2013</v>
      </c>
      <c r="G598" s="128" t="s">
        <v>64</v>
      </c>
      <c r="H598" s="128">
        <v>9</v>
      </c>
      <c r="I598" s="128">
        <v>3</v>
      </c>
      <c r="J598" s="63">
        <v>7891.7</v>
      </c>
      <c r="K598" s="63">
        <v>6600.8</v>
      </c>
      <c r="L598" s="63">
        <v>0</v>
      </c>
      <c r="M598" s="129">
        <v>291</v>
      </c>
      <c r="N598" s="108">
        <v>7639879</v>
      </c>
      <c r="O598" s="63"/>
      <c r="P598" s="62">
        <v>1020018.49</v>
      </c>
      <c r="Q598" s="63"/>
      <c r="R598" s="63"/>
      <c r="S598" s="62">
        <v>6619860.5099999998</v>
      </c>
      <c r="T598" s="63"/>
      <c r="U598" s="63">
        <v>1911.3708574535201</v>
      </c>
      <c r="V598" s="63">
        <v>1911.3708574535201</v>
      </c>
      <c r="W598" s="59">
        <v>2024</v>
      </c>
      <c r="Z598" s="62">
        <f t="shared" si="169"/>
        <v>8703397.3199999984</v>
      </c>
      <c r="AA598" s="55"/>
      <c r="AB598" s="63"/>
      <c r="AC598" s="55"/>
      <c r="AD598" s="55"/>
      <c r="AE598" s="63">
        <v>0</v>
      </c>
      <c r="AF598" s="63">
        <v>0</v>
      </c>
      <c r="AG598" s="63"/>
      <c r="AH598" s="63">
        <v>8628684.8599999994</v>
      </c>
      <c r="AI598" s="55"/>
      <c r="AJ598" s="63">
        <v>0</v>
      </c>
      <c r="AK598" s="55"/>
      <c r="AL598" s="63">
        <v>0</v>
      </c>
      <c r="AM598" s="55">
        <v>55020.37</v>
      </c>
      <c r="AN598" s="55">
        <v>19692.09</v>
      </c>
      <c r="AO598" s="60"/>
      <c r="AP598" s="61">
        <f>+N598-'Приложение №2'!E598</f>
        <v>4.208199679851532E-4</v>
      </c>
      <c r="AQ598" s="6">
        <f>4161512.94-301266.52-3086934.55-S74</f>
        <v>-3941022.5194791798</v>
      </c>
      <c r="AR598" s="3">
        <f>+(K598*13.29+L598*22.52)*12*0.85</f>
        <v>894791.24639999995</v>
      </c>
      <c r="AS598" s="3">
        <f>+(K598*13.29+L598*22.52)*12*30-1198680.53-8354818.57-S74</f>
        <v>17313034.030520819</v>
      </c>
      <c r="AT598" s="6">
        <f t="shared" si="168"/>
        <v>-10693173.520520819</v>
      </c>
      <c r="AU598" s="6" t="e">
        <v>#REF!</v>
      </c>
      <c r="AV598" s="6" t="e">
        <v>#REF!</v>
      </c>
      <c r="AW598" s="62">
        <f t="shared" si="162"/>
        <v>12616576.755879182</v>
      </c>
      <c r="AX598" s="55">
        <v>4667209.49</v>
      </c>
      <c r="AY598" s="55">
        <v>0</v>
      </c>
      <c r="AZ598" s="55">
        <v>2134044.9700000002</v>
      </c>
      <c r="BA598" s="55">
        <v>2451411.64</v>
      </c>
      <c r="BB598" s="55"/>
      <c r="BC598" s="55"/>
      <c r="BD598" s="55"/>
      <c r="BE598" s="55">
        <v>0</v>
      </c>
      <c r="BF598" s="55"/>
      <c r="BG598" s="55">
        <v>0</v>
      </c>
      <c r="BH598" s="55"/>
      <c r="BI598" s="55">
        <v>0</v>
      </c>
      <c r="BJ598" s="55">
        <v>2550189.8569999998</v>
      </c>
      <c r="BK598" s="63">
        <v>278424.56929999997</v>
      </c>
      <c r="BL598" s="111">
        <v>535296.22957918001</v>
      </c>
      <c r="BM598" s="62">
        <f t="shared" si="163"/>
        <v>12616576.755879182</v>
      </c>
      <c r="BN598" s="55">
        <v>4667209.49</v>
      </c>
      <c r="BO598" s="55">
        <v>0</v>
      </c>
      <c r="BP598" s="55">
        <v>2134044.9700000002</v>
      </c>
      <c r="BQ598" s="55">
        <v>2451411.64</v>
      </c>
      <c r="BR598" s="55"/>
      <c r="BS598" s="55"/>
      <c r="BT598" s="55"/>
      <c r="BU598" s="55">
        <v>0</v>
      </c>
      <c r="BV598" s="55"/>
      <c r="BW598" s="55">
        <v>0</v>
      </c>
      <c r="BX598" s="55"/>
      <c r="BY598" s="55">
        <v>0</v>
      </c>
      <c r="BZ598" s="55">
        <v>2550189.8569999998</v>
      </c>
      <c r="CA598" s="63">
        <v>278424.56929999997</v>
      </c>
      <c r="CB598" s="64">
        <v>535296.22957918001</v>
      </c>
      <c r="CD598" s="75"/>
      <c r="CE598" s="6"/>
    </row>
    <row r="599" spans="1:84" x14ac:dyDescent="0.25">
      <c r="A599" s="105">
        <f t="shared" si="164"/>
        <v>577</v>
      </c>
      <c r="B599" s="107">
        <f t="shared" si="167"/>
        <v>118</v>
      </c>
      <c r="C599" s="107" t="s">
        <v>108</v>
      </c>
      <c r="D599" s="107" t="s">
        <v>331</v>
      </c>
      <c r="E599" s="128">
        <v>1985</v>
      </c>
      <c r="F599" s="128">
        <v>2013</v>
      </c>
      <c r="G599" s="128" t="s">
        <v>64</v>
      </c>
      <c r="H599" s="128">
        <v>3</v>
      </c>
      <c r="I599" s="128">
        <v>3</v>
      </c>
      <c r="J599" s="63">
        <v>1439.1</v>
      </c>
      <c r="K599" s="63">
        <v>1284.3</v>
      </c>
      <c r="L599" s="63">
        <v>0</v>
      </c>
      <c r="M599" s="129">
        <v>55</v>
      </c>
      <c r="N599" s="108">
        <v>5608840.04</v>
      </c>
      <c r="O599" s="63"/>
      <c r="P599" s="62">
        <v>196116.1</v>
      </c>
      <c r="Q599" s="63"/>
      <c r="R599" s="62">
        <v>162201.76999999999</v>
      </c>
      <c r="S599" s="62">
        <v>5130307.95</v>
      </c>
      <c r="T599" s="62">
        <v>120214.22</v>
      </c>
      <c r="U599" s="63">
        <v>32142.381580442499</v>
      </c>
      <c r="V599" s="63">
        <v>1262.2830200640001</v>
      </c>
      <c r="W599" s="59">
        <v>2024</v>
      </c>
      <c r="X599" s="6" t="e">
        <v>#REF!</v>
      </c>
      <c r="Z599" s="62">
        <f t="shared" si="169"/>
        <v>17444911.509005465</v>
      </c>
      <c r="AA599" s="55">
        <v>0</v>
      </c>
      <c r="AB599" s="55">
        <v>0</v>
      </c>
      <c r="AC599" s="55">
        <v>0</v>
      </c>
      <c r="AD599" s="55">
        <v>1124212.3435180299</v>
      </c>
      <c r="AE599" s="55">
        <v>0</v>
      </c>
      <c r="AF599" s="55"/>
      <c r="AG599" s="55">
        <v>0</v>
      </c>
      <c r="AH599" s="55">
        <v>0</v>
      </c>
      <c r="AI599" s="55">
        <v>4206748.5157533297</v>
      </c>
      <c r="AJ599" s="55">
        <v>0</v>
      </c>
      <c r="AK599" s="55">
        <v>8272430.9336326597</v>
      </c>
      <c r="AL599" s="55">
        <v>3193396.3000122099</v>
      </c>
      <c r="AM599" s="55">
        <v>215153.97</v>
      </c>
      <c r="AN599" s="55">
        <v>65657.709721273903</v>
      </c>
      <c r="AO599" s="64">
        <v>367311.736367965</v>
      </c>
      <c r="AP599" s="61">
        <f>+N599-'Приложение №2'!E595</f>
        <v>385321.51309478749</v>
      </c>
      <c r="AQ599" s="65">
        <v>633764.25</v>
      </c>
      <c r="AR599" s="3">
        <f>+(K599*10.5+L599*21)*12*0.85</f>
        <v>137548.53</v>
      </c>
      <c r="AS599" s="3">
        <f>+(K599*10.5+L599*21)*12*30</f>
        <v>4854654</v>
      </c>
      <c r="AT599" s="6">
        <f t="shared" si="168"/>
        <v>275653.95000000019</v>
      </c>
      <c r="AU599" s="6" t="e">
        <v>#REF!</v>
      </c>
      <c r="AV599" s="6" t="e">
        <v>#REF!</v>
      </c>
      <c r="AW599" s="110">
        <f t="shared" si="162"/>
        <v>41280460.663762346</v>
      </c>
      <c r="AX599" s="55">
        <v>0</v>
      </c>
      <c r="AY599" s="55">
        <v>0</v>
      </c>
      <c r="AZ599" s="55">
        <v>0</v>
      </c>
      <c r="BA599" s="55">
        <v>1287686.27947242</v>
      </c>
      <c r="BB599" s="55">
        <v>0</v>
      </c>
      <c r="BC599" s="55"/>
      <c r="BD599" s="55">
        <v>0</v>
      </c>
      <c r="BE599" s="55"/>
      <c r="BF599" s="55">
        <v>14859752.822115</v>
      </c>
      <c r="BG599" s="55">
        <v>0</v>
      </c>
      <c r="BH599" s="55">
        <v>12356333.5081925</v>
      </c>
      <c r="BI599" s="55">
        <v>11615526.3232418</v>
      </c>
      <c r="BJ599" s="55">
        <v>215153.97</v>
      </c>
      <c r="BK599" s="55">
        <f>65657.7097212739</f>
        <v>65657.709721273903</v>
      </c>
      <c r="BL599" s="111">
        <v>880350.05101934902</v>
      </c>
      <c r="BM599" s="110">
        <f t="shared" si="163"/>
        <v>28603068.74164734</v>
      </c>
      <c r="BN599" s="55">
        <v>0</v>
      </c>
      <c r="BO599" s="55">
        <v>0</v>
      </c>
      <c r="BP599" s="55">
        <v>0</v>
      </c>
      <c r="BQ599" s="55">
        <v>1287686.27947242</v>
      </c>
      <c r="BR599" s="55">
        <v>0</v>
      </c>
      <c r="BS599" s="55"/>
      <c r="BT599" s="55">
        <v>0</v>
      </c>
      <c r="BU599" s="55"/>
      <c r="BV599" s="55">
        <v>2182360.9</v>
      </c>
      <c r="BW599" s="55">
        <v>0</v>
      </c>
      <c r="BX599" s="55">
        <v>12356333.5081925</v>
      </c>
      <c r="BY599" s="55">
        <v>11615526.3232418</v>
      </c>
      <c r="BZ599" s="55">
        <v>215153.97</v>
      </c>
      <c r="CA599" s="55">
        <f>65657.7097212739</f>
        <v>65657.709721273903</v>
      </c>
      <c r="CB599" s="64">
        <v>880350.05101934902</v>
      </c>
      <c r="CD599" s="75"/>
      <c r="CE599" s="6"/>
    </row>
    <row r="600" spans="1:84" x14ac:dyDescent="0.25">
      <c r="A600" s="105">
        <f t="shared" si="164"/>
        <v>578</v>
      </c>
      <c r="B600" s="107" t="s">
        <v>455</v>
      </c>
      <c r="C600" s="53" t="s">
        <v>108</v>
      </c>
      <c r="D600" s="53" t="s">
        <v>472</v>
      </c>
      <c r="E600" s="54">
        <v>1973</v>
      </c>
      <c r="F600" s="54">
        <v>2017</v>
      </c>
      <c r="G600" s="54" t="s">
        <v>64</v>
      </c>
      <c r="H600" s="54">
        <v>5</v>
      </c>
      <c r="I600" s="54">
        <v>2</v>
      </c>
      <c r="J600" s="55">
        <v>2354.6</v>
      </c>
      <c r="K600" s="55">
        <v>2141.8000000000002</v>
      </c>
      <c r="L600" s="55">
        <v>0</v>
      </c>
      <c r="M600" s="56">
        <v>96</v>
      </c>
      <c r="N600" s="112">
        <v>1237244.8999999999</v>
      </c>
      <c r="O600" s="55"/>
      <c r="P600" s="63"/>
      <c r="Q600" s="63"/>
      <c r="R600" s="62">
        <v>265572.58</v>
      </c>
      <c r="S600" s="62">
        <v>971672.32</v>
      </c>
      <c r="T600" s="63"/>
      <c r="U600" s="63">
        <v>2419.6525627287901</v>
      </c>
      <c r="V600" s="63">
        <v>1263.2830200640001</v>
      </c>
      <c r="W600" s="59">
        <v>2024</v>
      </c>
      <c r="X600" s="6" t="e">
        <v>#REF!</v>
      </c>
      <c r="Z600" s="62">
        <f t="shared" si="169"/>
        <v>5617414.6200000001</v>
      </c>
      <c r="AA600" s="55">
        <v>0</v>
      </c>
      <c r="AB600" s="55">
        <v>0</v>
      </c>
      <c r="AC600" s="55">
        <v>0</v>
      </c>
      <c r="AD600" s="55">
        <v>0</v>
      </c>
      <c r="AE600" s="55">
        <v>0</v>
      </c>
      <c r="AF600" s="55"/>
      <c r="AG600" s="55">
        <v>0</v>
      </c>
      <c r="AH600" s="55">
        <v>0</v>
      </c>
      <c r="AI600" s="55">
        <v>0</v>
      </c>
      <c r="AJ600" s="55">
        <v>0</v>
      </c>
      <c r="AK600" s="55">
        <v>4892509.7329474799</v>
      </c>
      <c r="AL600" s="55">
        <v>0</v>
      </c>
      <c r="AM600" s="55">
        <v>561741.46200000006</v>
      </c>
      <c r="AN600" s="63">
        <v>56174.146200000003</v>
      </c>
      <c r="AO600" s="64">
        <v>106989.27885252</v>
      </c>
      <c r="AP600" s="61">
        <f>+N600-'Приложение №2'!E600</f>
        <v>0</v>
      </c>
      <c r="AQ600" s="65">
        <v>1148972.82</v>
      </c>
      <c r="AR600" s="3">
        <f>+(K600*10.5+L600*21)*12*0.85</f>
        <v>229386.78000000003</v>
      </c>
      <c r="AS600" s="3">
        <f>+(K600*10.5+L600*21)*12*30</f>
        <v>8096004.0000000019</v>
      </c>
      <c r="AT600" s="6">
        <f t="shared" si="168"/>
        <v>-7124331.6800000016</v>
      </c>
      <c r="AU600" s="6" t="e">
        <v>#REF!</v>
      </c>
      <c r="AV600" s="6" t="e">
        <v>#REF!</v>
      </c>
      <c r="AW600" s="110">
        <f t="shared" si="162"/>
        <v>5182411.8588525197</v>
      </c>
      <c r="AX600" s="55">
        <v>0</v>
      </c>
      <c r="AY600" s="55">
        <v>0</v>
      </c>
      <c r="AZ600" s="55">
        <v>0</v>
      </c>
      <c r="BA600" s="55">
        <v>0</v>
      </c>
      <c r="BB600" s="55">
        <v>0</v>
      </c>
      <c r="BC600" s="55"/>
      <c r="BD600" s="55"/>
      <c r="BE600" s="55">
        <v>0</v>
      </c>
      <c r="BF600" s="55">
        <v>0</v>
      </c>
      <c r="BG600" s="55">
        <v>0</v>
      </c>
      <c r="BH600" s="55">
        <v>5075422.58</v>
      </c>
      <c r="BI600" s="55">
        <v>0</v>
      </c>
      <c r="BJ600" s="55"/>
      <c r="BK600" s="63"/>
      <c r="BL600" s="64">
        <v>106989.27885252</v>
      </c>
      <c r="BM600" s="110">
        <f t="shared" si="163"/>
        <v>5182411.8588525197</v>
      </c>
      <c r="BN600" s="55">
        <v>0</v>
      </c>
      <c r="BO600" s="55">
        <v>0</v>
      </c>
      <c r="BP600" s="55">
        <v>0</v>
      </c>
      <c r="BQ600" s="55">
        <v>0</v>
      </c>
      <c r="BR600" s="55">
        <v>0</v>
      </c>
      <c r="BS600" s="55"/>
      <c r="BT600" s="55"/>
      <c r="BU600" s="55">
        <v>0</v>
      </c>
      <c r="BV600" s="55">
        <v>0</v>
      </c>
      <c r="BW600" s="55">
        <v>0</v>
      </c>
      <c r="BX600" s="55">
        <v>5075422.58</v>
      </c>
      <c r="BY600" s="55">
        <v>0</v>
      </c>
      <c r="BZ600" s="55"/>
      <c r="CA600" s="63"/>
      <c r="CB600" s="64">
        <v>106989.27885252</v>
      </c>
      <c r="CD600" s="75"/>
      <c r="CE600" s="6"/>
    </row>
    <row r="601" spans="1:84" x14ac:dyDescent="0.25">
      <c r="A601" s="105">
        <f t="shared" si="164"/>
        <v>579</v>
      </c>
      <c r="B601" s="107">
        <v>119</v>
      </c>
      <c r="C601" s="107" t="s">
        <v>108</v>
      </c>
      <c r="D601" s="107" t="s">
        <v>593</v>
      </c>
      <c r="E601" s="128">
        <v>1984</v>
      </c>
      <c r="F601" s="128">
        <v>2016</v>
      </c>
      <c r="G601" s="128" t="s">
        <v>64</v>
      </c>
      <c r="H601" s="128">
        <v>9</v>
      </c>
      <c r="I601" s="128">
        <v>1</v>
      </c>
      <c r="J601" s="63">
        <v>7939.1</v>
      </c>
      <c r="K601" s="63">
        <v>4311.8999999999996</v>
      </c>
      <c r="L601" s="63">
        <v>91.2</v>
      </c>
      <c r="M601" s="129">
        <v>226</v>
      </c>
      <c r="N601" s="108">
        <v>1069515.9099999999</v>
      </c>
      <c r="O601" s="63"/>
      <c r="P601" s="63"/>
      <c r="Q601" s="63"/>
      <c r="R601" s="62">
        <v>1069515.9099999999</v>
      </c>
      <c r="S601" s="63"/>
      <c r="T601" s="63"/>
      <c r="U601" s="63">
        <v>242.90066428556199</v>
      </c>
      <c r="V601" s="63">
        <v>242.90066428556199</v>
      </c>
      <c r="W601" s="59">
        <v>2024</v>
      </c>
      <c r="X601" s="6" t="e">
        <v>#REF!</v>
      </c>
      <c r="Z601" s="62">
        <f t="shared" si="169"/>
        <v>1735600.3599999999</v>
      </c>
      <c r="AA601" s="55">
        <v>0</v>
      </c>
      <c r="AB601" s="55">
        <v>0</v>
      </c>
      <c r="AC601" s="55">
        <v>0</v>
      </c>
      <c r="AD601" s="55">
        <v>0</v>
      </c>
      <c r="AE601" s="55">
        <v>1171936.3734842399</v>
      </c>
      <c r="AF601" s="55"/>
      <c r="AG601" s="55">
        <v>0</v>
      </c>
      <c r="AH601" s="55">
        <v>0</v>
      </c>
      <c r="AI601" s="55">
        <v>0</v>
      </c>
      <c r="AJ601" s="55">
        <v>0</v>
      </c>
      <c r="AK601" s="55">
        <v>0</v>
      </c>
      <c r="AL601" s="55">
        <v>0</v>
      </c>
      <c r="AM601" s="55">
        <v>520680.10800000001</v>
      </c>
      <c r="AN601" s="63">
        <v>17356.0036</v>
      </c>
      <c r="AO601" s="64">
        <v>25627.87491576</v>
      </c>
      <c r="AP601" s="61">
        <f>+N601-'Приложение №2'!E601</f>
        <v>-4.9157601315528154E-3</v>
      </c>
      <c r="AQ601" s="1">
        <v>2426110.94</v>
      </c>
      <c r="AR601" s="3">
        <f>+(K601*13.29+L601*22.52)*12*0.85</f>
        <v>605461.54499999993</v>
      </c>
      <c r="AS601" s="3">
        <f>+(K601*13.29+L601*22.52)*12*30</f>
        <v>21369231</v>
      </c>
      <c r="AT601" s="6">
        <f t="shared" si="168"/>
        <v>-21369231</v>
      </c>
      <c r="AU601" s="6" t="e">
        <v>#REF!</v>
      </c>
      <c r="AV601" s="6" t="e">
        <v>#REF!</v>
      </c>
      <c r="AW601" s="62">
        <f t="shared" si="162"/>
        <v>1069515.91491576</v>
      </c>
      <c r="AX601" s="55">
        <v>0</v>
      </c>
      <c r="AY601" s="55">
        <v>0</v>
      </c>
      <c r="AZ601" s="55">
        <v>0</v>
      </c>
      <c r="BA601" s="55">
        <v>0</v>
      </c>
      <c r="BB601" s="55">
        <v>1043888.04</v>
      </c>
      <c r="BC601" s="55"/>
      <c r="BD601" s="55"/>
      <c r="BE601" s="55">
        <v>0</v>
      </c>
      <c r="BF601" s="55">
        <v>0</v>
      </c>
      <c r="BG601" s="55">
        <v>0</v>
      </c>
      <c r="BH601" s="55">
        <v>0</v>
      </c>
      <c r="BI601" s="55">
        <v>0</v>
      </c>
      <c r="BJ601" s="55"/>
      <c r="BK601" s="63"/>
      <c r="BL601" s="111">
        <v>25627.87491576</v>
      </c>
      <c r="BM601" s="62">
        <f t="shared" si="163"/>
        <v>1069515.91491576</v>
      </c>
      <c r="BN601" s="55">
        <v>0</v>
      </c>
      <c r="BO601" s="55">
        <v>0</v>
      </c>
      <c r="BP601" s="55">
        <v>0</v>
      </c>
      <c r="BQ601" s="55">
        <v>0</v>
      </c>
      <c r="BR601" s="55">
        <v>1043888.04</v>
      </c>
      <c r="BS601" s="55"/>
      <c r="BT601" s="55"/>
      <c r="BU601" s="55">
        <v>0</v>
      </c>
      <c r="BV601" s="55">
        <v>0</v>
      </c>
      <c r="BW601" s="55">
        <v>0</v>
      </c>
      <c r="BX601" s="55">
        <v>0</v>
      </c>
      <c r="BY601" s="55">
        <v>0</v>
      </c>
      <c r="BZ601" s="55"/>
      <c r="CA601" s="63"/>
      <c r="CB601" s="64">
        <v>25627.87491576</v>
      </c>
      <c r="CD601" s="75"/>
      <c r="CE601" s="6"/>
    </row>
    <row r="602" spans="1:84" x14ac:dyDescent="0.25">
      <c r="A602" s="105">
        <f t="shared" si="164"/>
        <v>580</v>
      </c>
      <c r="B602" s="106">
        <f t="shared" ref="B602:B665" si="170">+B601+1</f>
        <v>120</v>
      </c>
      <c r="C602" s="53" t="s">
        <v>108</v>
      </c>
      <c r="D602" s="53" t="s">
        <v>594</v>
      </c>
      <c r="E602" s="54">
        <v>1982</v>
      </c>
      <c r="F602" s="54">
        <v>2016</v>
      </c>
      <c r="G602" s="54" t="s">
        <v>64</v>
      </c>
      <c r="H602" s="54">
        <v>9</v>
      </c>
      <c r="I602" s="54">
        <v>1</v>
      </c>
      <c r="J602" s="55">
        <v>7939.1</v>
      </c>
      <c r="K602" s="55">
        <v>4285</v>
      </c>
      <c r="L602" s="55">
        <v>172.8</v>
      </c>
      <c r="M602" s="56">
        <v>234</v>
      </c>
      <c r="N602" s="112">
        <v>1137882.68</v>
      </c>
      <c r="O602" s="55"/>
      <c r="P602" s="63"/>
      <c r="Q602" s="63"/>
      <c r="R602" s="62">
        <v>1137882.68</v>
      </c>
      <c r="S602" s="63"/>
      <c r="T602" s="63"/>
      <c r="U602" s="55">
        <v>255.256557142227</v>
      </c>
      <c r="V602" s="55">
        <v>255.256557142227</v>
      </c>
      <c r="W602" s="59">
        <v>2024</v>
      </c>
      <c r="X602" s="6" t="e">
        <v>#REF!</v>
      </c>
      <c r="Z602" s="62">
        <f t="shared" si="169"/>
        <v>1718282.5699999998</v>
      </c>
      <c r="AA602" s="55">
        <v>0</v>
      </c>
      <c r="AB602" s="55">
        <v>0</v>
      </c>
      <c r="AC602" s="55">
        <v>0</v>
      </c>
      <c r="AD602" s="55">
        <v>0</v>
      </c>
      <c r="AE602" s="55">
        <v>1160242.81287138</v>
      </c>
      <c r="AF602" s="55"/>
      <c r="AG602" s="55">
        <v>0</v>
      </c>
      <c r="AH602" s="55">
        <v>0</v>
      </c>
      <c r="AI602" s="55">
        <v>0</v>
      </c>
      <c r="AJ602" s="55">
        <v>0</v>
      </c>
      <c r="AK602" s="55">
        <v>0</v>
      </c>
      <c r="AL602" s="55">
        <v>0</v>
      </c>
      <c r="AM602" s="55">
        <v>515484.77100000001</v>
      </c>
      <c r="AN602" s="63">
        <v>17182.825700000001</v>
      </c>
      <c r="AO602" s="64">
        <v>25372.160428620002</v>
      </c>
      <c r="AP602" s="61">
        <f>+N602-'Приложение №2'!E602</f>
        <v>-4.2862002737820148E-4</v>
      </c>
      <c r="AQ602" s="1">
        <v>2596440.5499999998</v>
      </c>
      <c r="AR602" s="3">
        <f>+(K602*13.29+L602*22.52)*12*0.85</f>
        <v>620558.88119999983</v>
      </c>
      <c r="AS602" s="3">
        <f>+(K602*13.29+L602*22.52)*12*30</f>
        <v>21902078.159999996</v>
      </c>
      <c r="AT602" s="6">
        <f t="shared" si="168"/>
        <v>-21902078.159999996</v>
      </c>
      <c r="AU602" s="6" t="e">
        <v>#REF!</v>
      </c>
      <c r="AV602" s="6" t="e">
        <v>#REF!</v>
      </c>
      <c r="AW602" s="62">
        <f t="shared" si="162"/>
        <v>1137882.68042862</v>
      </c>
      <c r="AX602" s="55">
        <v>0</v>
      </c>
      <c r="AY602" s="55">
        <v>0</v>
      </c>
      <c r="AZ602" s="55">
        <v>0</v>
      </c>
      <c r="BA602" s="55">
        <v>0</v>
      </c>
      <c r="BB602" s="55">
        <v>1112510.52</v>
      </c>
      <c r="BC602" s="55"/>
      <c r="BD602" s="55"/>
      <c r="BE602" s="55">
        <v>0</v>
      </c>
      <c r="BF602" s="55">
        <v>0</v>
      </c>
      <c r="BG602" s="55">
        <v>0</v>
      </c>
      <c r="BH602" s="55">
        <v>0</v>
      </c>
      <c r="BI602" s="55">
        <v>0</v>
      </c>
      <c r="BJ602" s="55"/>
      <c r="BK602" s="63"/>
      <c r="BL602" s="111">
        <v>25372.160428620002</v>
      </c>
      <c r="BM602" s="62">
        <f t="shared" si="163"/>
        <v>1137882.68042862</v>
      </c>
      <c r="BN602" s="55">
        <v>0</v>
      </c>
      <c r="BO602" s="55">
        <v>0</v>
      </c>
      <c r="BP602" s="55">
        <v>0</v>
      </c>
      <c r="BQ602" s="55">
        <v>0</v>
      </c>
      <c r="BR602" s="55">
        <v>1112510.52</v>
      </c>
      <c r="BS602" s="55"/>
      <c r="BT602" s="55"/>
      <c r="BU602" s="55">
        <v>0</v>
      </c>
      <c r="BV602" s="55">
        <v>0</v>
      </c>
      <c r="BW602" s="55">
        <v>0</v>
      </c>
      <c r="BX602" s="55">
        <v>0</v>
      </c>
      <c r="BY602" s="55">
        <v>0</v>
      </c>
      <c r="BZ602" s="55"/>
      <c r="CA602" s="63"/>
      <c r="CB602" s="64">
        <v>25372.160428620002</v>
      </c>
      <c r="CD602" s="75"/>
      <c r="CE602" s="6"/>
    </row>
    <row r="603" spans="1:84" x14ac:dyDescent="0.25">
      <c r="A603" s="105">
        <f t="shared" si="164"/>
        <v>581</v>
      </c>
      <c r="B603" s="106">
        <f t="shared" si="170"/>
        <v>121</v>
      </c>
      <c r="C603" s="53" t="s">
        <v>108</v>
      </c>
      <c r="D603" s="53" t="s">
        <v>134</v>
      </c>
      <c r="E603" s="54">
        <v>1976</v>
      </c>
      <c r="F603" s="54">
        <v>2013</v>
      </c>
      <c r="G603" s="54" t="s">
        <v>64</v>
      </c>
      <c r="H603" s="54">
        <v>4</v>
      </c>
      <c r="I603" s="54">
        <v>4</v>
      </c>
      <c r="J603" s="55">
        <v>2991.3</v>
      </c>
      <c r="K603" s="55">
        <v>2484.4</v>
      </c>
      <c r="L603" s="55">
        <v>250.6</v>
      </c>
      <c r="M603" s="56">
        <v>122</v>
      </c>
      <c r="N603" s="112">
        <v>30117126.760000002</v>
      </c>
      <c r="O603" s="55"/>
      <c r="P603" s="62">
        <v>3677895.94</v>
      </c>
      <c r="Q603" s="63"/>
      <c r="R603" s="62">
        <v>1766224.81</v>
      </c>
      <c r="S603" s="62">
        <v>10344610.640000001</v>
      </c>
      <c r="T603" s="62">
        <v>14328395.369999999</v>
      </c>
      <c r="U603" s="63">
        <v>11900.898308874899</v>
      </c>
      <c r="V603" s="63">
        <v>1271.2830200640001</v>
      </c>
      <c r="W603" s="59">
        <v>2024</v>
      </c>
      <c r="X603" s="6" t="e">
        <v>#REF!</v>
      </c>
      <c r="Z603" s="62">
        <f t="shared" si="169"/>
        <v>37022548.278852001</v>
      </c>
      <c r="AA603" s="55">
        <v>6531079.8989818199</v>
      </c>
      <c r="AB603" s="55">
        <v>0</v>
      </c>
      <c r="AC603" s="55">
        <v>0</v>
      </c>
      <c r="AD603" s="55">
        <v>0</v>
      </c>
      <c r="AE603" s="55">
        <v>1171020.99</v>
      </c>
      <c r="AF603" s="55"/>
      <c r="AG603" s="55">
        <v>0</v>
      </c>
      <c r="AH603" s="55">
        <v>0</v>
      </c>
      <c r="AI603" s="55">
        <v>11939807.781027</v>
      </c>
      <c r="AJ603" s="55">
        <v>0</v>
      </c>
      <c r="AK603" s="55">
        <v>6199203.4736406598</v>
      </c>
      <c r="AL603" s="55">
        <v>6686566.5827221796</v>
      </c>
      <c r="AM603" s="55">
        <v>3445210.5710999998</v>
      </c>
      <c r="AN603" s="63">
        <v>359077.49579999998</v>
      </c>
      <c r="AO603" s="64">
        <v>690581.48558034003</v>
      </c>
      <c r="AP603" s="61">
        <f>+N603-'Приложение №2'!E603</f>
        <v>-1.5691071748733521E-3</v>
      </c>
      <c r="AQ603" s="1">
        <f>1676530.68-230063.63</f>
        <v>1446467.0499999998</v>
      </c>
      <c r="AR603" s="3">
        <f t="shared" ref="AR603:AR608" si="171">+(K603*10.5+L603*21)*12*0.85</f>
        <v>319757.75999999995</v>
      </c>
      <c r="AS603" s="3">
        <f>+(K603*10.5+L603*21)*12*30-940957.36</f>
        <v>10344610.640000001</v>
      </c>
      <c r="AT603" s="6">
        <f t="shared" si="168"/>
        <v>0</v>
      </c>
      <c r="AU603" s="6" t="e">
        <v>#REF!</v>
      </c>
      <c r="AV603" s="6" t="e">
        <v>#REF!</v>
      </c>
      <c r="AW603" s="110">
        <f t="shared" si="162"/>
        <v>29566591.758568875</v>
      </c>
      <c r="AX603" s="55">
        <v>6531079.8989818199</v>
      </c>
      <c r="AY603" s="55">
        <v>0</v>
      </c>
      <c r="AZ603" s="55">
        <v>0</v>
      </c>
      <c r="BA603" s="55">
        <v>0</v>
      </c>
      <c r="BB603" s="55"/>
      <c r="BC603" s="55"/>
      <c r="BD603" s="55">
        <v>250556.926690272</v>
      </c>
      <c r="BE603" s="55">
        <v>0</v>
      </c>
      <c r="BF603" s="55">
        <v>14196898.848430499</v>
      </c>
      <c r="BG603" s="55">
        <v>0</v>
      </c>
      <c r="BH603" s="55">
        <v>0</v>
      </c>
      <c r="BI603" s="55">
        <v>7950585.80699977</v>
      </c>
      <c r="BJ603" s="55"/>
      <c r="BK603" s="63"/>
      <c r="BL603" s="64">
        <v>637470.27746651601</v>
      </c>
      <c r="BM603" s="110">
        <f t="shared" si="163"/>
        <v>29566591.758568875</v>
      </c>
      <c r="BN603" s="55">
        <v>6531079.8989818199</v>
      </c>
      <c r="BO603" s="55">
        <v>0</v>
      </c>
      <c r="BP603" s="55">
        <v>0</v>
      </c>
      <c r="BQ603" s="55">
        <v>0</v>
      </c>
      <c r="BR603" s="55"/>
      <c r="BS603" s="55"/>
      <c r="BT603" s="55">
        <v>250556.926690272</v>
      </c>
      <c r="BU603" s="55">
        <v>0</v>
      </c>
      <c r="BV603" s="55">
        <v>14196898.848430499</v>
      </c>
      <c r="BW603" s="55">
        <v>0</v>
      </c>
      <c r="BX603" s="55">
        <v>0</v>
      </c>
      <c r="BY603" s="55">
        <v>7950585.80699977</v>
      </c>
      <c r="BZ603" s="55"/>
      <c r="CA603" s="63"/>
      <c r="CB603" s="64">
        <v>637470.27746651601</v>
      </c>
      <c r="CD603" s="75"/>
      <c r="CE603" s="6"/>
    </row>
    <row r="604" spans="1:84" s="69" customFormat="1" x14ac:dyDescent="0.25">
      <c r="A604" s="105">
        <f t="shared" si="164"/>
        <v>582</v>
      </c>
      <c r="B604" s="106">
        <f t="shared" si="170"/>
        <v>122</v>
      </c>
      <c r="C604" s="53" t="s">
        <v>108</v>
      </c>
      <c r="D604" s="53" t="s">
        <v>339</v>
      </c>
      <c r="E604" s="54" t="s">
        <v>340</v>
      </c>
      <c r="F604" s="54"/>
      <c r="G604" s="54" t="s">
        <v>64</v>
      </c>
      <c r="H604" s="54" t="s">
        <v>101</v>
      </c>
      <c r="I604" s="54" t="s">
        <v>184</v>
      </c>
      <c r="J604" s="55">
        <v>4021.68</v>
      </c>
      <c r="K604" s="55">
        <v>3212.2</v>
      </c>
      <c r="L604" s="55">
        <v>201.5</v>
      </c>
      <c r="M604" s="56">
        <v>152</v>
      </c>
      <c r="N604" s="112">
        <v>18083557.16</v>
      </c>
      <c r="O604" s="55">
        <v>0</v>
      </c>
      <c r="P604" s="63"/>
      <c r="Q604" s="63"/>
      <c r="R604" s="62">
        <v>387187.92</v>
      </c>
      <c r="S604" s="62">
        <v>12007828.970000001</v>
      </c>
      <c r="T604" s="62">
        <v>5688540.2699999996</v>
      </c>
      <c r="U604" s="63">
        <v>2065.7701003638399</v>
      </c>
      <c r="V604" s="63">
        <v>1274.2830200640001</v>
      </c>
      <c r="W604" s="59">
        <v>2024</v>
      </c>
      <c r="X604" s="69">
        <v>1358102.97</v>
      </c>
      <c r="Y604" s="69">
        <f>+(K604*9.1+L604*18.19)*12</f>
        <v>394755.66000000003</v>
      </c>
      <c r="AA604" s="70" t="e">
        <v>#REF!</v>
      </c>
      <c r="AD604" s="70" t="e">
        <v>#REF!</v>
      </c>
      <c r="AP604" s="61">
        <f>+N604-'Приложение №2'!E604</f>
        <v>6.2946230173110962E-4</v>
      </c>
      <c r="AQ604" s="65">
        <f>2065064.66-R258</f>
        <v>-263905.63746779994</v>
      </c>
      <c r="AR604" s="3">
        <f t="shared" si="171"/>
        <v>387187.91999999993</v>
      </c>
      <c r="AS604" s="3">
        <f>+(K604*10.5+L604*21)*12*30-S258</f>
        <v>4687639.9433671776</v>
      </c>
      <c r="AT604" s="6">
        <f t="shared" si="168"/>
        <v>7320189.0266328231</v>
      </c>
      <c r="AU604" s="6" t="e">
        <v>#REF!</v>
      </c>
      <c r="AV604" s="6" t="e">
        <v>#REF!</v>
      </c>
      <c r="AW604" s="110">
        <f t="shared" si="162"/>
        <v>6635666.7163887154</v>
      </c>
      <c r="AX604" s="55"/>
      <c r="AY604" s="55"/>
      <c r="AZ604" s="55"/>
      <c r="BA604" s="55">
        <v>3159390.0048404401</v>
      </c>
      <c r="BB604" s="55">
        <v>1459023.88944373</v>
      </c>
      <c r="BC604" s="55"/>
      <c r="BD604" s="55"/>
      <c r="BE604" s="55">
        <v>0</v>
      </c>
      <c r="BF604" s="55"/>
      <c r="BG604" s="55">
        <v>0</v>
      </c>
      <c r="BH604" s="55">
        <v>0</v>
      </c>
      <c r="BI604" s="55">
        <v>0</v>
      </c>
      <c r="BJ604" s="55">
        <v>1231638.8674677999</v>
      </c>
      <c r="BK604" s="63">
        <v>24000</v>
      </c>
      <c r="BL604" s="64">
        <v>761613.95463674504</v>
      </c>
      <c r="BM604" s="110">
        <f t="shared" si="163"/>
        <v>6635666.7163887154</v>
      </c>
      <c r="BN604" s="55"/>
      <c r="BO604" s="55"/>
      <c r="BP604" s="55"/>
      <c r="BQ604" s="55">
        <v>3159390.0048404401</v>
      </c>
      <c r="BR604" s="55">
        <v>1459023.88944373</v>
      </c>
      <c r="BS604" s="55"/>
      <c r="BT604" s="55"/>
      <c r="BU604" s="55">
        <v>0</v>
      </c>
      <c r="BV604" s="55"/>
      <c r="BW604" s="55">
        <v>0</v>
      </c>
      <c r="BX604" s="55">
        <v>0</v>
      </c>
      <c r="BY604" s="55">
        <v>0</v>
      </c>
      <c r="BZ604" s="55">
        <v>1231638.8674677999</v>
      </c>
      <c r="CA604" s="63">
        <v>24000</v>
      </c>
      <c r="CB604" s="64">
        <v>761613.95463674504</v>
      </c>
      <c r="CD604" s="75"/>
      <c r="CE604" s="6"/>
      <c r="CF604" s="116"/>
    </row>
    <row r="605" spans="1:84" x14ac:dyDescent="0.25">
      <c r="A605" s="105">
        <f t="shared" si="164"/>
        <v>583</v>
      </c>
      <c r="B605" s="106">
        <f t="shared" si="170"/>
        <v>123</v>
      </c>
      <c r="C605" s="53" t="s">
        <v>108</v>
      </c>
      <c r="D605" s="53" t="s">
        <v>341</v>
      </c>
      <c r="E605" s="54">
        <v>1974</v>
      </c>
      <c r="F605" s="54">
        <v>2012</v>
      </c>
      <c r="G605" s="54" t="s">
        <v>64</v>
      </c>
      <c r="H605" s="54">
        <v>4</v>
      </c>
      <c r="I605" s="54">
        <v>4</v>
      </c>
      <c r="J605" s="55">
        <v>3917</v>
      </c>
      <c r="K605" s="55">
        <v>3431.9</v>
      </c>
      <c r="L605" s="55">
        <v>0</v>
      </c>
      <c r="M605" s="56">
        <v>163</v>
      </c>
      <c r="N605" s="112">
        <v>1944097.44</v>
      </c>
      <c r="O605" s="55"/>
      <c r="P605" s="63"/>
      <c r="Q605" s="63"/>
      <c r="R605" s="62">
        <v>308170.89</v>
      </c>
      <c r="S605" s="62">
        <v>1635926.55</v>
      </c>
      <c r="T605" s="63">
        <v>0</v>
      </c>
      <c r="U605" s="63">
        <v>1224.8245170778901</v>
      </c>
      <c r="V605" s="63">
        <v>1275.2830200640001</v>
      </c>
      <c r="W605" s="59">
        <v>2024</v>
      </c>
      <c r="X605" s="6" t="e">
        <v>#REF!</v>
      </c>
      <c r="Z605" s="62">
        <f>SUM(AA605:AO605)</f>
        <v>9641868.1699999999</v>
      </c>
      <c r="AA605" s="55">
        <v>0</v>
      </c>
      <c r="AB605" s="55">
        <v>0</v>
      </c>
      <c r="AC605" s="55">
        <v>0</v>
      </c>
      <c r="AD605" s="55">
        <v>0</v>
      </c>
      <c r="AE605" s="55">
        <v>0</v>
      </c>
      <c r="AF605" s="55"/>
      <c r="AG605" s="55">
        <v>0</v>
      </c>
      <c r="AH605" s="55">
        <v>0</v>
      </c>
      <c r="AI605" s="55">
        <v>0</v>
      </c>
      <c r="AJ605" s="55">
        <v>0</v>
      </c>
      <c r="AK605" s="55">
        <v>0</v>
      </c>
      <c r="AL605" s="55">
        <v>8397623.6501341797</v>
      </c>
      <c r="AM605" s="55">
        <v>964186.81700000004</v>
      </c>
      <c r="AN605" s="63">
        <v>96418.681700000001</v>
      </c>
      <c r="AO605" s="64">
        <v>183639.02116582001</v>
      </c>
      <c r="AP605" s="61">
        <f>+N605-'Приложение №2'!E605</f>
        <v>6.2417937442660332E-5</v>
      </c>
      <c r="AQ605" s="65">
        <f>2029704.09-R259</f>
        <v>-858693.05</v>
      </c>
      <c r="AR605" s="3">
        <f t="shared" si="171"/>
        <v>367556.49</v>
      </c>
      <c r="AS605" s="3">
        <f>+(K605*10.5+L605*21)*12*30-S259</f>
        <v>6025675.9188341796</v>
      </c>
      <c r="AT605" s="6">
        <f t="shared" si="168"/>
        <v>-4389749.3688341798</v>
      </c>
      <c r="AU605" s="6" t="e">
        <v>#REF!</v>
      </c>
      <c r="AV605" s="6" t="e">
        <v>#REF!</v>
      </c>
      <c r="AW605" s="110">
        <f t="shared" si="162"/>
        <v>4203475.2601596015</v>
      </c>
      <c r="AX605" s="55"/>
      <c r="AY605" s="55"/>
      <c r="AZ605" s="55"/>
      <c r="BA605" s="55"/>
      <c r="BB605" s="55">
        <v>1373738.52</v>
      </c>
      <c r="BC605" s="55"/>
      <c r="BD605" s="55"/>
      <c r="BE605" s="55">
        <v>0</v>
      </c>
      <c r="BF605" s="55">
        <v>0</v>
      </c>
      <c r="BG605" s="55">
        <v>0</v>
      </c>
      <c r="BH605" s="55">
        <v>0</v>
      </c>
      <c r="BI605" s="55">
        <v>0</v>
      </c>
      <c r="BJ605" s="55">
        <v>2241354.1289639198</v>
      </c>
      <c r="BK605" s="63">
        <v>204049.1212581</v>
      </c>
      <c r="BL605" s="64">
        <v>384333.489937582</v>
      </c>
      <c r="BM605" s="110">
        <f t="shared" si="163"/>
        <v>4203475.2601596015</v>
      </c>
      <c r="BN605" s="55"/>
      <c r="BO605" s="55"/>
      <c r="BP605" s="55"/>
      <c r="BQ605" s="55"/>
      <c r="BR605" s="55">
        <v>1373738.52</v>
      </c>
      <c r="BS605" s="55"/>
      <c r="BT605" s="55"/>
      <c r="BU605" s="55">
        <v>0</v>
      </c>
      <c r="BV605" s="55">
        <v>0</v>
      </c>
      <c r="BW605" s="55">
        <v>0</v>
      </c>
      <c r="BX605" s="55">
        <v>0</v>
      </c>
      <c r="BY605" s="55">
        <v>0</v>
      </c>
      <c r="BZ605" s="55">
        <v>2241354.1289639198</v>
      </c>
      <c r="CA605" s="63">
        <v>204049.1212581</v>
      </c>
      <c r="CB605" s="64">
        <v>384333.489937582</v>
      </c>
      <c r="CD605" s="75"/>
      <c r="CE605" s="6"/>
      <c r="CF605" s="117"/>
    </row>
    <row r="606" spans="1:84" s="69" customFormat="1" x14ac:dyDescent="0.25">
      <c r="A606" s="105">
        <f t="shared" si="164"/>
        <v>584</v>
      </c>
      <c r="B606" s="106">
        <f t="shared" si="170"/>
        <v>124</v>
      </c>
      <c r="C606" s="53" t="s">
        <v>108</v>
      </c>
      <c r="D606" s="53" t="s">
        <v>595</v>
      </c>
      <c r="E606" s="54" t="s">
        <v>370</v>
      </c>
      <c r="F606" s="54"/>
      <c r="G606" s="54" t="s">
        <v>64</v>
      </c>
      <c r="H606" s="54" t="s">
        <v>184</v>
      </c>
      <c r="I606" s="54" t="s">
        <v>184</v>
      </c>
      <c r="J606" s="55">
        <v>3131.3</v>
      </c>
      <c r="K606" s="55">
        <v>2721.1</v>
      </c>
      <c r="L606" s="55">
        <v>64.900000000000006</v>
      </c>
      <c r="M606" s="56">
        <v>111</v>
      </c>
      <c r="N606" s="112">
        <v>36599470.780000001</v>
      </c>
      <c r="O606" s="55">
        <v>0</v>
      </c>
      <c r="P606" s="62">
        <v>3119886.48</v>
      </c>
      <c r="Q606" s="63"/>
      <c r="R606" s="62">
        <v>2024960.91</v>
      </c>
      <c r="S606" s="62">
        <v>10776402</v>
      </c>
      <c r="T606" s="62">
        <v>20678221.390000001</v>
      </c>
      <c r="U606" s="63">
        <v>13452.182269480199</v>
      </c>
      <c r="V606" s="63">
        <v>1276.2830200640001</v>
      </c>
      <c r="W606" s="59">
        <v>2024</v>
      </c>
      <c r="X606" s="69">
        <v>1106960.28</v>
      </c>
      <c r="Y606" s="69">
        <f>+(K606*9.1+L606*18.19)*12</f>
        <v>311310.49199999997</v>
      </c>
      <c r="AA606" s="70" t="e">
        <v>#REF!</v>
      </c>
      <c r="AD606" s="70" t="e">
        <v>#REF!</v>
      </c>
      <c r="AP606" s="61">
        <f>+N606-'Приложение №2'!E606</f>
        <v>7.2539597749710083E-4</v>
      </c>
      <c r="AQ606" s="65">
        <v>1719629.52</v>
      </c>
      <c r="AR606" s="3">
        <f t="shared" si="171"/>
        <v>305331.39</v>
      </c>
      <c r="AS606" s="3">
        <f>+(K606*10.5+L606*21)*12*30</f>
        <v>10776402</v>
      </c>
      <c r="AT606" s="6">
        <f t="shared" si="168"/>
        <v>0</v>
      </c>
      <c r="AU606" s="6" t="e">
        <v>#REF!</v>
      </c>
      <c r="AV606" s="6" t="e">
        <v>#REF!</v>
      </c>
      <c r="AW606" s="110">
        <f t="shared" si="162"/>
        <v>36604733.173482612</v>
      </c>
      <c r="AX606" s="55"/>
      <c r="AY606" s="55">
        <v>2569498.1666174699</v>
      </c>
      <c r="AZ606" s="55">
        <v>2781035.5982677899</v>
      </c>
      <c r="BA606" s="55">
        <v>1702285.74585747</v>
      </c>
      <c r="BB606" s="55">
        <v>1236504.5566667099</v>
      </c>
      <c r="BC606" s="55"/>
      <c r="BD606" s="55"/>
      <c r="BE606" s="55"/>
      <c r="BF606" s="55"/>
      <c r="BG606" s="55"/>
      <c r="BH606" s="55">
        <v>19117612.313414998</v>
      </c>
      <c r="BI606" s="55">
        <v>7647211.0565302204</v>
      </c>
      <c r="BJ606" s="55">
        <v>1005086.03524081</v>
      </c>
      <c r="BK606" s="63">
        <v>44175.978967199997</v>
      </c>
      <c r="BL606" s="64">
        <v>501323.72191994899</v>
      </c>
      <c r="BM606" s="110">
        <f t="shared" si="163"/>
        <v>36604733.173482612</v>
      </c>
      <c r="BN606" s="55"/>
      <c r="BO606" s="55">
        <v>2569498.1666174699</v>
      </c>
      <c r="BP606" s="55">
        <v>2781035.5982677899</v>
      </c>
      <c r="BQ606" s="55">
        <v>1702285.74585747</v>
      </c>
      <c r="BR606" s="55">
        <v>1236504.5566667099</v>
      </c>
      <c r="BS606" s="55"/>
      <c r="BT606" s="55"/>
      <c r="BU606" s="55"/>
      <c r="BV606" s="55"/>
      <c r="BW606" s="55"/>
      <c r="BX606" s="55">
        <v>19117612.313414998</v>
      </c>
      <c r="BY606" s="55">
        <v>7647211.0565302204</v>
      </c>
      <c r="BZ606" s="55">
        <v>1005086.03524081</v>
      </c>
      <c r="CA606" s="63">
        <v>44175.978967199997</v>
      </c>
      <c r="CB606" s="64">
        <v>501323.72191994899</v>
      </c>
      <c r="CD606" s="75"/>
      <c r="CE606" s="6"/>
      <c r="CF606" s="116"/>
    </row>
    <row r="607" spans="1:84" x14ac:dyDescent="0.25">
      <c r="A607" s="105">
        <f t="shared" si="164"/>
        <v>585</v>
      </c>
      <c r="B607" s="106">
        <f t="shared" si="170"/>
        <v>125</v>
      </c>
      <c r="C607" s="53" t="s">
        <v>108</v>
      </c>
      <c r="D607" s="53" t="s">
        <v>596</v>
      </c>
      <c r="E607" s="54">
        <v>1978</v>
      </c>
      <c r="F607" s="54">
        <v>2012</v>
      </c>
      <c r="G607" s="54" t="s">
        <v>64</v>
      </c>
      <c r="H607" s="54">
        <v>4</v>
      </c>
      <c r="I607" s="54">
        <v>6</v>
      </c>
      <c r="J607" s="55">
        <v>5689.4</v>
      </c>
      <c r="K607" s="55">
        <v>4976.8</v>
      </c>
      <c r="L607" s="55">
        <v>71.5</v>
      </c>
      <c r="M607" s="56">
        <v>227</v>
      </c>
      <c r="N607" s="112">
        <v>2062369.22</v>
      </c>
      <c r="O607" s="55"/>
      <c r="P607" s="63"/>
      <c r="Q607" s="63"/>
      <c r="R607" s="62">
        <v>2062369.22</v>
      </c>
      <c r="S607" s="63"/>
      <c r="T607" s="63"/>
      <c r="U607" s="63">
        <v>414.39664453665</v>
      </c>
      <c r="V607" s="63">
        <v>1265.2830200640001</v>
      </c>
      <c r="W607" s="59">
        <v>2024</v>
      </c>
      <c r="X607" s="6" t="e">
        <v>#REF!</v>
      </c>
      <c r="Z607" s="62">
        <f>SUM(AA607:AO607)</f>
        <v>2287454.9999999995</v>
      </c>
      <c r="AA607" s="55">
        <v>0</v>
      </c>
      <c r="AB607" s="55">
        <v>0</v>
      </c>
      <c r="AC607" s="55">
        <v>0</v>
      </c>
      <c r="AD607" s="55">
        <v>0</v>
      </c>
      <c r="AE607" s="55">
        <v>1544567.3894700001</v>
      </c>
      <c r="AF607" s="55"/>
      <c r="AG607" s="55">
        <v>0</v>
      </c>
      <c r="AH607" s="55">
        <v>0</v>
      </c>
      <c r="AI607" s="55">
        <v>0</v>
      </c>
      <c r="AJ607" s="55">
        <v>0</v>
      </c>
      <c r="AK607" s="55">
        <v>0</v>
      </c>
      <c r="AL607" s="55">
        <v>0</v>
      </c>
      <c r="AM607" s="55">
        <v>686236.5</v>
      </c>
      <c r="AN607" s="63">
        <v>22874.55</v>
      </c>
      <c r="AO607" s="64">
        <v>33776.560530000002</v>
      </c>
      <c r="AP607" s="61">
        <f>+N607-'Приложение №2'!E607</f>
        <v>-5.2999984472990036E-4</v>
      </c>
      <c r="AQ607" s="65">
        <v>3083043.07</v>
      </c>
      <c r="AR607" s="3">
        <f t="shared" si="171"/>
        <v>548330.58000000007</v>
      </c>
      <c r="AS607" s="3">
        <f>+(K607*10.5+L607*21)*12*30</f>
        <v>19352844</v>
      </c>
      <c r="AT607" s="6">
        <f t="shared" si="168"/>
        <v>-19352844</v>
      </c>
      <c r="AU607" s="6" t="e">
        <v>#REF!</v>
      </c>
      <c r="AV607" s="6" t="e">
        <v>#REF!</v>
      </c>
      <c r="AW607" s="110">
        <f t="shared" si="162"/>
        <v>2062369.2205299998</v>
      </c>
      <c r="AX607" s="55">
        <v>0</v>
      </c>
      <c r="AY607" s="55">
        <v>0</v>
      </c>
      <c r="AZ607" s="55">
        <v>0</v>
      </c>
      <c r="BA607" s="55">
        <v>0</v>
      </c>
      <c r="BB607" s="55">
        <v>2028592.66</v>
      </c>
      <c r="BC607" s="55"/>
      <c r="BD607" s="55"/>
      <c r="BE607" s="55">
        <v>0</v>
      </c>
      <c r="BF607" s="55">
        <v>0</v>
      </c>
      <c r="BG607" s="55">
        <v>0</v>
      </c>
      <c r="BH607" s="55">
        <v>0</v>
      </c>
      <c r="BI607" s="55">
        <v>0</v>
      </c>
      <c r="BJ607" s="55"/>
      <c r="BK607" s="63"/>
      <c r="BL607" s="64">
        <v>33776.560530000002</v>
      </c>
      <c r="BM607" s="110">
        <f t="shared" si="163"/>
        <v>2062369.2205299998</v>
      </c>
      <c r="BN607" s="55">
        <v>0</v>
      </c>
      <c r="BO607" s="55">
        <v>0</v>
      </c>
      <c r="BP607" s="55">
        <v>0</v>
      </c>
      <c r="BQ607" s="55">
        <v>0</v>
      </c>
      <c r="BR607" s="55">
        <v>2028592.66</v>
      </c>
      <c r="BS607" s="55"/>
      <c r="BT607" s="55"/>
      <c r="BU607" s="55">
        <v>0</v>
      </c>
      <c r="BV607" s="55">
        <v>0</v>
      </c>
      <c r="BW607" s="55">
        <v>0</v>
      </c>
      <c r="BX607" s="55">
        <v>0</v>
      </c>
      <c r="BY607" s="55">
        <v>0</v>
      </c>
      <c r="BZ607" s="55"/>
      <c r="CA607" s="63"/>
      <c r="CB607" s="64">
        <v>33776.560530000002</v>
      </c>
      <c r="CD607" s="75"/>
      <c r="CE607" s="6"/>
    </row>
    <row r="608" spans="1:84" x14ac:dyDescent="0.25">
      <c r="A608" s="105">
        <f t="shared" si="164"/>
        <v>586</v>
      </c>
      <c r="B608" s="106">
        <f t="shared" si="170"/>
        <v>126</v>
      </c>
      <c r="C608" s="53" t="s">
        <v>108</v>
      </c>
      <c r="D608" s="53" t="s">
        <v>332</v>
      </c>
      <c r="E608" s="54">
        <v>1974</v>
      </c>
      <c r="F608" s="54">
        <v>2013</v>
      </c>
      <c r="G608" s="54" t="s">
        <v>64</v>
      </c>
      <c r="H608" s="54">
        <v>4</v>
      </c>
      <c r="I608" s="54">
        <v>4</v>
      </c>
      <c r="J608" s="55">
        <v>4783.3599999999997</v>
      </c>
      <c r="K608" s="55">
        <v>3510.2</v>
      </c>
      <c r="L608" s="55">
        <v>0</v>
      </c>
      <c r="M608" s="56">
        <v>164</v>
      </c>
      <c r="N608" s="112">
        <v>9192362.4800000004</v>
      </c>
      <c r="O608" s="55"/>
      <c r="P608" s="63"/>
      <c r="Q608" s="63"/>
      <c r="R608" s="62">
        <v>1563311.82</v>
      </c>
      <c r="S608" s="62">
        <v>7629050.6600000001</v>
      </c>
      <c r="T608" s="63"/>
      <c r="U608" s="63">
        <v>2481.1746370349301</v>
      </c>
      <c r="V608" s="63">
        <v>1266.2830200640001</v>
      </c>
      <c r="W608" s="59">
        <v>2024</v>
      </c>
      <c r="X608" s="6" t="e">
        <v>#REF!</v>
      </c>
      <c r="Z608" s="62">
        <f>SUM(AA608:AO608)</f>
        <v>10786909.54642</v>
      </c>
      <c r="AA608" s="55">
        <v>0</v>
      </c>
      <c r="AB608" s="55">
        <v>0</v>
      </c>
      <c r="AC608" s="55">
        <v>0</v>
      </c>
      <c r="AD608" s="55">
        <v>0</v>
      </c>
      <c r="AE608" s="55">
        <v>1314097.3999999999</v>
      </c>
      <c r="AF608" s="55"/>
      <c r="AG608" s="55">
        <v>0</v>
      </c>
      <c r="AH608" s="55">
        <v>0</v>
      </c>
      <c r="AI608" s="55">
        <v>0</v>
      </c>
      <c r="AJ608" s="55">
        <v>0</v>
      </c>
      <c r="AK608" s="55">
        <v>0</v>
      </c>
      <c r="AL608" s="55">
        <v>8060676.2652086997</v>
      </c>
      <c r="AM608" s="55">
        <v>1135899.355</v>
      </c>
      <c r="AN608" s="63">
        <v>95049.965500000006</v>
      </c>
      <c r="AO608" s="64">
        <v>181186.5607113</v>
      </c>
      <c r="AP608" s="61">
        <f>+N608-'Приложение №2'!E608</f>
        <v>-9.199976921081543E-4</v>
      </c>
      <c r="AQ608" s="6">
        <f>2096998.22-R253</f>
        <v>1475402.5699999998</v>
      </c>
      <c r="AR608" s="3">
        <f t="shared" si="171"/>
        <v>375942.41999999993</v>
      </c>
      <c r="AS608" s="3">
        <f>+(K608*10.5+L608*21)*12*30</f>
        <v>13268555.999999998</v>
      </c>
      <c r="AT608" s="6">
        <f t="shared" si="168"/>
        <v>-5639505.339999998</v>
      </c>
      <c r="AU608" s="6" t="e">
        <v>#REF!</v>
      </c>
      <c r="AV608" s="6" t="e">
        <v>#REF!</v>
      </c>
      <c r="AW608" s="110">
        <f t="shared" si="162"/>
        <v>8709419.2109199986</v>
      </c>
      <c r="AX608" s="55">
        <v>0</v>
      </c>
      <c r="AY608" s="55">
        <v>0</v>
      </c>
      <c r="AZ608" s="55">
        <v>0</v>
      </c>
      <c r="BA608" s="55">
        <v>0</v>
      </c>
      <c r="BB608" s="55"/>
      <c r="BC608" s="55"/>
      <c r="BD608" s="55"/>
      <c r="BE608" s="55"/>
      <c r="BF608" s="55"/>
      <c r="BG608" s="55"/>
      <c r="BH608" s="55"/>
      <c r="BI608" s="55">
        <v>8518226.9435696993</v>
      </c>
      <c r="BJ608" s="55"/>
      <c r="BK608" s="63"/>
      <c r="BL608" s="64">
        <v>191192.26735030001</v>
      </c>
      <c r="BM608" s="110">
        <f t="shared" si="163"/>
        <v>8709419.2109199986</v>
      </c>
      <c r="BN608" s="55">
        <v>0</v>
      </c>
      <c r="BO608" s="55">
        <v>0</v>
      </c>
      <c r="BP608" s="55">
        <v>0</v>
      </c>
      <c r="BQ608" s="55">
        <v>0</v>
      </c>
      <c r="BR608" s="55"/>
      <c r="BS608" s="55"/>
      <c r="BT608" s="55"/>
      <c r="BU608" s="55"/>
      <c r="BV608" s="55"/>
      <c r="BW608" s="55"/>
      <c r="BX608" s="55"/>
      <c r="BY608" s="55">
        <v>8518226.9435696993</v>
      </c>
      <c r="BZ608" s="55"/>
      <c r="CA608" s="63"/>
      <c r="CB608" s="64">
        <v>191192.26735030001</v>
      </c>
      <c r="CD608" s="75"/>
      <c r="CE608" s="6"/>
      <c r="CF608" s="117"/>
    </row>
    <row r="609" spans="1:84" s="69" customFormat="1" x14ac:dyDescent="0.25">
      <c r="A609" s="105">
        <f t="shared" si="164"/>
        <v>587</v>
      </c>
      <c r="B609" s="106">
        <f t="shared" si="170"/>
        <v>127</v>
      </c>
      <c r="C609" s="53" t="s">
        <v>108</v>
      </c>
      <c r="D609" s="53" t="s">
        <v>597</v>
      </c>
      <c r="E609" s="54" t="s">
        <v>338</v>
      </c>
      <c r="F609" s="54"/>
      <c r="G609" s="54" t="s">
        <v>64</v>
      </c>
      <c r="H609" s="54" t="s">
        <v>184</v>
      </c>
      <c r="I609" s="54" t="s">
        <v>185</v>
      </c>
      <c r="J609" s="55">
        <v>5658.4</v>
      </c>
      <c r="K609" s="55">
        <v>4959.8999999999996</v>
      </c>
      <c r="L609" s="55">
        <v>0</v>
      </c>
      <c r="M609" s="56">
        <v>203</v>
      </c>
      <c r="N609" s="112">
        <v>5349768.03</v>
      </c>
      <c r="O609" s="55">
        <v>0</v>
      </c>
      <c r="P609" s="63"/>
      <c r="Q609" s="63"/>
      <c r="R609" s="62">
        <v>2512218.9500000002</v>
      </c>
      <c r="S609" s="62">
        <v>2837549.08</v>
      </c>
      <c r="T609" s="63">
        <v>0</v>
      </c>
      <c r="U609" s="55">
        <v>1100.71499223775</v>
      </c>
      <c r="V609" s="55">
        <v>1100.71499223775</v>
      </c>
      <c r="W609" s="59">
        <v>2024</v>
      </c>
      <c r="X609" s="69">
        <v>1826494.26</v>
      </c>
      <c r="Y609" s="69">
        <f>+(K609*9.1+L609*18.19)*12</f>
        <v>541621.07999999996</v>
      </c>
      <c r="AA609" s="70" t="e">
        <v>#REF!</v>
      </c>
      <c r="AD609" s="70" t="e">
        <v>#REF!</v>
      </c>
      <c r="AP609" s="61">
        <f>+N609-'Приложение №2'!E609</f>
        <v>4.3328022584319115E-3</v>
      </c>
      <c r="AQ609" s="69">
        <f>2320931.87-204954.46</f>
        <v>2115977.41</v>
      </c>
      <c r="AR609" s="3">
        <f>+(K609*10+L609*20)*12*0.85</f>
        <v>505909.8</v>
      </c>
      <c r="AS609" s="3">
        <f>+(K609*10+L609*20)*12*30-70591.75</f>
        <v>17785048.25</v>
      </c>
      <c r="AT609" s="6">
        <f t="shared" si="168"/>
        <v>-14947499.17</v>
      </c>
      <c r="AU609" s="6" t="e">
        <v>#REF!</v>
      </c>
      <c r="AV609" s="6" t="e">
        <v>#REF!</v>
      </c>
      <c r="AW609" s="62">
        <f t="shared" si="162"/>
        <v>5459436.2899999982</v>
      </c>
      <c r="AX609" s="55"/>
      <c r="AY609" s="55">
        <v>5131838.1197179202</v>
      </c>
      <c r="AZ609" s="55"/>
      <c r="BA609" s="55"/>
      <c r="BB609" s="55"/>
      <c r="BC609" s="55"/>
      <c r="BD609" s="55"/>
      <c r="BE609" s="55"/>
      <c r="BF609" s="55"/>
      <c r="BG609" s="55"/>
      <c r="BH609" s="55"/>
      <c r="BI609" s="55"/>
      <c r="BJ609" s="55">
        <v>191375.2643328</v>
      </c>
      <c r="BK609" s="63">
        <v>24000</v>
      </c>
      <c r="BL609" s="111">
        <v>112222.90594927801</v>
      </c>
      <c r="BM609" s="62">
        <f t="shared" si="163"/>
        <v>5459436.2899999982</v>
      </c>
      <c r="BN609" s="55"/>
      <c r="BO609" s="55">
        <v>5131838.1197179202</v>
      </c>
      <c r="BP609" s="55"/>
      <c r="BQ609" s="55"/>
      <c r="BR609" s="55"/>
      <c r="BS609" s="55"/>
      <c r="BT609" s="55"/>
      <c r="BU609" s="55"/>
      <c r="BV609" s="55"/>
      <c r="BW609" s="55"/>
      <c r="BX609" s="55"/>
      <c r="BY609" s="55"/>
      <c r="BZ609" s="55">
        <v>191375.2643328</v>
      </c>
      <c r="CA609" s="63">
        <v>24000</v>
      </c>
      <c r="CB609" s="64">
        <v>112222.90594927801</v>
      </c>
      <c r="CD609" s="75"/>
      <c r="CE609" s="6"/>
      <c r="CF609" s="116"/>
    </row>
    <row r="610" spans="1:84" s="69" customFormat="1" x14ac:dyDescent="0.25">
      <c r="A610" s="105">
        <f t="shared" si="164"/>
        <v>588</v>
      </c>
      <c r="B610" s="106">
        <f t="shared" si="170"/>
        <v>128</v>
      </c>
      <c r="C610" s="53" t="s">
        <v>108</v>
      </c>
      <c r="D610" s="53" t="s">
        <v>598</v>
      </c>
      <c r="E610" s="54" t="s">
        <v>377</v>
      </c>
      <c r="F610" s="54"/>
      <c r="G610" s="54" t="s">
        <v>64</v>
      </c>
      <c r="H610" s="54" t="s">
        <v>184</v>
      </c>
      <c r="I610" s="54" t="s">
        <v>184</v>
      </c>
      <c r="J610" s="55">
        <v>4040.3</v>
      </c>
      <c r="K610" s="55">
        <v>3442.7</v>
      </c>
      <c r="L610" s="55">
        <v>0</v>
      </c>
      <c r="M610" s="56">
        <v>150</v>
      </c>
      <c r="N610" s="112">
        <v>3722053.54</v>
      </c>
      <c r="O610" s="55">
        <v>0</v>
      </c>
      <c r="P610" s="63"/>
      <c r="Q610" s="63"/>
      <c r="R610" s="62">
        <v>1965896.65</v>
      </c>
      <c r="S610" s="62">
        <v>1756156.89</v>
      </c>
      <c r="T610" s="113"/>
      <c r="U610" s="55">
        <v>1115.8050686960801</v>
      </c>
      <c r="V610" s="55">
        <v>1115.8050686960801</v>
      </c>
      <c r="W610" s="59">
        <v>2024</v>
      </c>
      <c r="X610" s="69">
        <v>1285748.18</v>
      </c>
      <c r="Y610" s="69">
        <f>+(K610*9.1+L610*18.19)*12</f>
        <v>375942.83999999997</v>
      </c>
      <c r="AA610" s="70" t="e">
        <v>#REF!</v>
      </c>
      <c r="AD610" s="70" t="e">
        <v>#REF!</v>
      </c>
      <c r="AP610" s="61">
        <f>+N610-'Приложение №2'!E610</f>
        <v>3.647997509688139E-3</v>
      </c>
      <c r="AQ610" s="69">
        <v>1614741.25</v>
      </c>
      <c r="AR610" s="3">
        <f>+(K610*10+L610*20)*12*0.85</f>
        <v>351155.39999999997</v>
      </c>
      <c r="AS610" s="3">
        <f>+(K610*10+L610*20)*12*30</f>
        <v>12393720</v>
      </c>
      <c r="AT610" s="6">
        <f t="shared" si="168"/>
        <v>-10637563.109999999</v>
      </c>
      <c r="AU610" s="6" t="e">
        <v>#REF!</v>
      </c>
      <c r="AV610" s="6" t="e">
        <v>#REF!</v>
      </c>
      <c r="AW610" s="62">
        <f t="shared" ref="AW610:AW673" si="172">SUBTOTAL(9, AX610:BL610)</f>
        <v>3841382.1100000027</v>
      </c>
      <c r="AX610" s="55"/>
      <c r="AY610" s="55">
        <v>3569615.4462360698</v>
      </c>
      <c r="AZ610" s="55"/>
      <c r="BA610" s="55"/>
      <c r="BB610" s="55"/>
      <c r="BC610" s="55"/>
      <c r="BD610" s="55"/>
      <c r="BE610" s="55"/>
      <c r="BF610" s="55"/>
      <c r="BG610" s="55"/>
      <c r="BH610" s="55"/>
      <c r="BI610" s="55"/>
      <c r="BJ610" s="55">
        <v>169706.40364800001</v>
      </c>
      <c r="BK610" s="63">
        <v>24000</v>
      </c>
      <c r="BL610" s="111">
        <v>78060.260115932804</v>
      </c>
      <c r="BM610" s="62">
        <f t="shared" ref="BM610:BM673" si="173">SUBTOTAL(9, BN610:CB610)</f>
        <v>3841382.1100000027</v>
      </c>
      <c r="BN610" s="55"/>
      <c r="BO610" s="55">
        <v>3569615.4462360698</v>
      </c>
      <c r="BP610" s="55"/>
      <c r="BQ610" s="55"/>
      <c r="BR610" s="55"/>
      <c r="BS610" s="55"/>
      <c r="BT610" s="55"/>
      <c r="BU610" s="55"/>
      <c r="BV610" s="55"/>
      <c r="BW610" s="55"/>
      <c r="BX610" s="55"/>
      <c r="BY610" s="55"/>
      <c r="BZ610" s="55">
        <v>169706.40364800001</v>
      </c>
      <c r="CA610" s="63">
        <v>24000</v>
      </c>
      <c r="CB610" s="64">
        <v>78060.260115932804</v>
      </c>
      <c r="CD610" s="75"/>
      <c r="CE610" s="6"/>
      <c r="CF610" s="116"/>
    </row>
    <row r="611" spans="1:84" s="69" customFormat="1" x14ac:dyDescent="0.25">
      <c r="A611" s="105">
        <f t="shared" ref="A611:A674" si="174">+A610+1</f>
        <v>589</v>
      </c>
      <c r="B611" s="106">
        <f t="shared" si="170"/>
        <v>129</v>
      </c>
      <c r="C611" s="53" t="s">
        <v>108</v>
      </c>
      <c r="D611" s="53" t="s">
        <v>333</v>
      </c>
      <c r="E611" s="54" t="s">
        <v>334</v>
      </c>
      <c r="F611" s="54"/>
      <c r="G611" s="54" t="s">
        <v>64</v>
      </c>
      <c r="H611" s="54" t="s">
        <v>184</v>
      </c>
      <c r="I611" s="54" t="s">
        <v>102</v>
      </c>
      <c r="J611" s="55">
        <v>1276.4000000000001</v>
      </c>
      <c r="K611" s="55">
        <v>1181.5</v>
      </c>
      <c r="L611" s="55">
        <v>48.4</v>
      </c>
      <c r="M611" s="56">
        <v>69</v>
      </c>
      <c r="N611" s="112">
        <v>21531432.289999999</v>
      </c>
      <c r="O611" s="55">
        <v>0</v>
      </c>
      <c r="P611" s="63"/>
      <c r="Q611" s="63"/>
      <c r="R611" s="62">
        <v>136905.93</v>
      </c>
      <c r="S611" s="62">
        <v>1910141.83</v>
      </c>
      <c r="T611" s="62">
        <v>19484384.530000001</v>
      </c>
      <c r="U611" s="63">
        <v>16969.400865557</v>
      </c>
      <c r="V611" s="63">
        <v>1267.2830200640001</v>
      </c>
      <c r="W611" s="59">
        <v>2024</v>
      </c>
      <c r="X611" s="69">
        <v>424539.75</v>
      </c>
      <c r="Y611" s="69">
        <f>+(K611*9.1+L611*18.19)*12</f>
        <v>139584.552</v>
      </c>
      <c r="AA611" s="70" t="e">
        <v>#REF!</v>
      </c>
      <c r="AD611" s="70" t="e">
        <v>#REF!</v>
      </c>
      <c r="AP611" s="61">
        <f>+N611-'Приложение №2'!E611</f>
        <v>-9.2450156807899475E-4</v>
      </c>
      <c r="AQ611" s="65">
        <f>687944.89-R254</f>
        <v>86065.481063371059</v>
      </c>
      <c r="AR611" s="3">
        <f>+(K611*10.5+L611*21)*12*0.85</f>
        <v>136905.93</v>
      </c>
      <c r="AS611" s="3">
        <f>+(K611*10.5+L611*21)*12*30-S254</f>
        <v>1478684.5618352201</v>
      </c>
      <c r="AT611" s="6">
        <f t="shared" si="168"/>
        <v>431457.26816477999</v>
      </c>
      <c r="AU611" s="6" t="e">
        <v>#REF!</v>
      </c>
      <c r="AV611" s="6" t="e">
        <v>#REF!</v>
      </c>
      <c r="AW611" s="110">
        <f t="shared" si="172"/>
        <v>20049347.122655611</v>
      </c>
      <c r="AX611" s="55">
        <v>3048488.2820363599</v>
      </c>
      <c r="AY611" s="55">
        <v>1412219.9147629</v>
      </c>
      <c r="AZ611" s="55"/>
      <c r="BA611" s="55">
        <v>1138276.28876388</v>
      </c>
      <c r="BB611" s="55">
        <v>498007.81255247601</v>
      </c>
      <c r="BC611" s="55"/>
      <c r="BD611" s="55">
        <v>112672.74739903701</v>
      </c>
      <c r="BE611" s="55">
        <v>0</v>
      </c>
      <c r="BF611" s="55"/>
      <c r="BG611" s="55">
        <v>0</v>
      </c>
      <c r="BH611" s="55">
        <v>8439609.2549422495</v>
      </c>
      <c r="BI611" s="55">
        <v>3575292.6815462601</v>
      </c>
      <c r="BJ611" s="55">
        <v>1430573.48171582</v>
      </c>
      <c r="BK611" s="63"/>
      <c r="BL611" s="64">
        <v>394206.65893662901</v>
      </c>
      <c r="BM611" s="110">
        <f t="shared" si="173"/>
        <v>20049347.122655611</v>
      </c>
      <c r="BN611" s="55">
        <v>3048488.2820363599</v>
      </c>
      <c r="BO611" s="55">
        <v>1412219.9147629</v>
      </c>
      <c r="BP611" s="55"/>
      <c r="BQ611" s="55">
        <v>1138276.28876388</v>
      </c>
      <c r="BR611" s="55">
        <v>498007.81255247601</v>
      </c>
      <c r="BS611" s="55"/>
      <c r="BT611" s="55">
        <v>112672.74739903701</v>
      </c>
      <c r="BU611" s="55">
        <v>0</v>
      </c>
      <c r="BV611" s="55"/>
      <c r="BW611" s="55">
        <v>0</v>
      </c>
      <c r="BX611" s="55">
        <v>8439609.2549422495</v>
      </c>
      <c r="BY611" s="55">
        <v>3575292.6815462601</v>
      </c>
      <c r="BZ611" s="55">
        <v>1430573.48171582</v>
      </c>
      <c r="CA611" s="63"/>
      <c r="CB611" s="64">
        <v>394206.65893662901</v>
      </c>
      <c r="CD611" s="75"/>
      <c r="CE611" s="6"/>
      <c r="CF611" s="116"/>
    </row>
    <row r="612" spans="1:84" x14ac:dyDescent="0.25">
      <c r="A612" s="105">
        <f t="shared" si="174"/>
        <v>590</v>
      </c>
      <c r="B612" s="106">
        <f t="shared" si="170"/>
        <v>130</v>
      </c>
      <c r="C612" s="53" t="s">
        <v>108</v>
      </c>
      <c r="D612" s="53" t="s">
        <v>599</v>
      </c>
      <c r="E612" s="54">
        <v>1975</v>
      </c>
      <c r="F612" s="54">
        <v>2013</v>
      </c>
      <c r="G612" s="54" t="s">
        <v>64</v>
      </c>
      <c r="H612" s="54">
        <v>4</v>
      </c>
      <c r="I612" s="54">
        <v>6</v>
      </c>
      <c r="J612" s="55">
        <v>4262.6000000000004</v>
      </c>
      <c r="K612" s="55">
        <v>3725.7</v>
      </c>
      <c r="L612" s="55">
        <v>243.2</v>
      </c>
      <c r="M612" s="56">
        <v>159</v>
      </c>
      <c r="N612" s="112">
        <v>10674924.84</v>
      </c>
      <c r="O612" s="55"/>
      <c r="P612" s="62">
        <v>2143246.12</v>
      </c>
      <c r="Q612" s="63"/>
      <c r="R612" s="62">
        <v>775614.7</v>
      </c>
      <c r="S612" s="62">
        <v>4780661.1100000003</v>
      </c>
      <c r="T612" s="62">
        <v>2975402.91</v>
      </c>
      <c r="U612" s="55">
        <v>2689.6431857541202</v>
      </c>
      <c r="V612" s="55">
        <v>2689.6431857541202</v>
      </c>
      <c r="W612" s="59">
        <v>2024</v>
      </c>
      <c r="X612" s="6" t="e">
        <v>#REF!</v>
      </c>
      <c r="Z612" s="62">
        <f>SUM(AA612:AO612)</f>
        <v>40281151.460000001</v>
      </c>
      <c r="AA612" s="55">
        <v>9306102.4321519807</v>
      </c>
      <c r="AB612" s="55">
        <v>0</v>
      </c>
      <c r="AC612" s="55">
        <v>0</v>
      </c>
      <c r="AD612" s="55">
        <v>0</v>
      </c>
      <c r="AE612" s="55">
        <v>0</v>
      </c>
      <c r="AF612" s="55"/>
      <c r="AG612" s="55">
        <v>357100.62596123997</v>
      </c>
      <c r="AH612" s="55">
        <v>0</v>
      </c>
      <c r="AI612" s="55">
        <v>17012971.210712399</v>
      </c>
      <c r="AJ612" s="55">
        <v>0</v>
      </c>
      <c r="AK612" s="55">
        <v>8833213.4125485606</v>
      </c>
      <c r="AL612" s="55">
        <v>0</v>
      </c>
      <c r="AM612" s="55">
        <v>3592433.8741000001</v>
      </c>
      <c r="AN612" s="63">
        <v>402811.51459999999</v>
      </c>
      <c r="AO612" s="64">
        <v>776518.38992582005</v>
      </c>
      <c r="AP612" s="61">
        <f>+N612-'Приложение №2'!E612</f>
        <v>6.0493126511573792E-5</v>
      </c>
      <c r="AQ612" s="1">
        <f>1889670.92-1080583.3044-463107.12</f>
        <v>345980.49559999991</v>
      </c>
      <c r="AR612" s="3">
        <f>+(K612*10+L612*20)*12*0.85</f>
        <v>429634.2</v>
      </c>
      <c r="AS612" s="3">
        <f>+(K612*10+L612*20)*12*30-4573.626-647859.33-9730465.93</f>
        <v>4780661.1140000001</v>
      </c>
      <c r="AT612" s="6">
        <f t="shared" si="168"/>
        <v>-3.9999997243285179E-3</v>
      </c>
      <c r="AU612" s="6" t="e">
        <v>#REF!</v>
      </c>
      <c r="AV612" s="6" t="e">
        <v>#REF!</v>
      </c>
      <c r="AW612" s="62">
        <f t="shared" si="172"/>
        <v>10674924.839939507</v>
      </c>
      <c r="AX612" s="55">
        <v>10082885.3290445</v>
      </c>
      <c r="AY612" s="55">
        <v>0</v>
      </c>
      <c r="AZ612" s="55">
        <v>0</v>
      </c>
      <c r="BA612" s="55">
        <v>0</v>
      </c>
      <c r="BB612" s="55">
        <v>0</v>
      </c>
      <c r="BC612" s="55"/>
      <c r="BD612" s="55">
        <v>363596.11932030099</v>
      </c>
      <c r="BE612" s="55">
        <v>0</v>
      </c>
      <c r="BF612" s="55"/>
      <c r="BG612" s="55">
        <v>0</v>
      </c>
      <c r="BH612" s="55"/>
      <c r="BI612" s="55">
        <v>0</v>
      </c>
      <c r="BJ612" s="55"/>
      <c r="BK612" s="63"/>
      <c r="BL612" s="64">
        <v>228443.39157470499</v>
      </c>
      <c r="BM612" s="62">
        <f t="shared" si="173"/>
        <v>10674924.839939507</v>
      </c>
      <c r="BN612" s="55">
        <v>10082885.3290445</v>
      </c>
      <c r="BO612" s="55">
        <v>0</v>
      </c>
      <c r="BP612" s="55">
        <v>0</v>
      </c>
      <c r="BQ612" s="55">
        <v>0</v>
      </c>
      <c r="BR612" s="55">
        <v>0</v>
      </c>
      <c r="BS612" s="55"/>
      <c r="BT612" s="55">
        <v>363596.11932030099</v>
      </c>
      <c r="BU612" s="55">
        <v>0</v>
      </c>
      <c r="BV612" s="55"/>
      <c r="BW612" s="55">
        <v>0</v>
      </c>
      <c r="BX612" s="55"/>
      <c r="BY612" s="55">
        <v>0</v>
      </c>
      <c r="BZ612" s="55"/>
      <c r="CA612" s="63"/>
      <c r="CB612" s="64">
        <v>228443.39157470499</v>
      </c>
      <c r="CD612" s="75"/>
      <c r="CE612" s="6"/>
    </row>
    <row r="613" spans="1:84" x14ac:dyDescent="0.25">
      <c r="A613" s="105">
        <f t="shared" si="174"/>
        <v>591</v>
      </c>
      <c r="B613" s="106">
        <f t="shared" si="170"/>
        <v>131</v>
      </c>
      <c r="C613" s="53" t="s">
        <v>108</v>
      </c>
      <c r="D613" s="53" t="s">
        <v>600</v>
      </c>
      <c r="E613" s="54">
        <v>1976</v>
      </c>
      <c r="F613" s="54">
        <v>2005</v>
      </c>
      <c r="G613" s="54" t="s">
        <v>64</v>
      </c>
      <c r="H613" s="54">
        <v>5</v>
      </c>
      <c r="I613" s="54">
        <v>6</v>
      </c>
      <c r="J613" s="55">
        <v>3918.8</v>
      </c>
      <c r="K613" s="55">
        <v>3433.8</v>
      </c>
      <c r="L613" s="55">
        <v>0</v>
      </c>
      <c r="M613" s="56">
        <v>155</v>
      </c>
      <c r="N613" s="112">
        <v>1648547.79</v>
      </c>
      <c r="O613" s="55"/>
      <c r="P613" s="63"/>
      <c r="Q613" s="63"/>
      <c r="R613" s="62">
        <v>1648547.79</v>
      </c>
      <c r="S613" s="63"/>
      <c r="T613" s="63"/>
      <c r="U613" s="63">
        <v>317.54412475974101</v>
      </c>
      <c r="V613" s="63">
        <v>1269.2830200640001</v>
      </c>
      <c r="W613" s="59">
        <v>2024</v>
      </c>
      <c r="X613" s="6" t="e">
        <v>#REF!</v>
      </c>
      <c r="Z613" s="62">
        <f>SUM(AA613:AO613)</f>
        <v>1580265.2399999998</v>
      </c>
      <c r="AA613" s="55">
        <v>0</v>
      </c>
      <c r="AB613" s="55">
        <v>0</v>
      </c>
      <c r="AC613" s="55">
        <v>0</v>
      </c>
      <c r="AD613" s="55">
        <v>0</v>
      </c>
      <c r="AE613" s="55">
        <v>1067048.8190661599</v>
      </c>
      <c r="AF613" s="55"/>
      <c r="AG613" s="55">
        <v>0</v>
      </c>
      <c r="AH613" s="55">
        <v>0</v>
      </c>
      <c r="AI613" s="55">
        <v>0</v>
      </c>
      <c r="AJ613" s="55">
        <v>0</v>
      </c>
      <c r="AK613" s="55">
        <v>0</v>
      </c>
      <c r="AL613" s="55">
        <v>0</v>
      </c>
      <c r="AM613" s="55">
        <v>474079.57199999999</v>
      </c>
      <c r="AN613" s="63">
        <v>15802.652400000001</v>
      </c>
      <c r="AO613" s="64">
        <v>23334.19653384</v>
      </c>
      <c r="AP613" s="61">
        <f>+N613-'Приложение №2'!E613</f>
        <v>3.4661600366234779E-3</v>
      </c>
      <c r="AQ613" s="1">
        <f>2119160.71-846033</f>
        <v>1273127.71</v>
      </c>
      <c r="AR613" s="3">
        <f>+(K613*10.5+L613*21)*12*0.85</f>
        <v>367759.98000000004</v>
      </c>
      <c r="AS613" s="3">
        <f>+(K613*10.5+L613*21)*12*30-62340.65-1126498.46</f>
        <v>11790924.890000001</v>
      </c>
      <c r="AT613" s="6">
        <f t="shared" si="168"/>
        <v>-11790924.890000001</v>
      </c>
      <c r="AU613" s="6" t="e">
        <v>#REF!</v>
      </c>
      <c r="AV613" s="6" t="e">
        <v>#REF!</v>
      </c>
      <c r="AW613" s="110">
        <f t="shared" si="172"/>
        <v>1090383.0155999998</v>
      </c>
      <c r="AX613" s="55">
        <v>0</v>
      </c>
      <c r="AY613" s="55">
        <v>0</v>
      </c>
      <c r="AZ613" s="55">
        <v>0</v>
      </c>
      <c r="BA613" s="55">
        <v>0</v>
      </c>
      <c r="BB613" s="55">
        <v>1067048.8190661599</v>
      </c>
      <c r="BC613" s="55"/>
      <c r="BD613" s="55"/>
      <c r="BE613" s="55">
        <v>0</v>
      </c>
      <c r="BF613" s="55">
        <v>0</v>
      </c>
      <c r="BG613" s="55">
        <v>0</v>
      </c>
      <c r="BH613" s="55">
        <v>0</v>
      </c>
      <c r="BI613" s="55">
        <v>0</v>
      </c>
      <c r="BJ613" s="55"/>
      <c r="BK613" s="63"/>
      <c r="BL613" s="64">
        <v>23334.19653384</v>
      </c>
      <c r="BM613" s="110">
        <f t="shared" si="173"/>
        <v>1090383.0155999998</v>
      </c>
      <c r="BN613" s="55">
        <v>0</v>
      </c>
      <c r="BO613" s="55">
        <v>0</v>
      </c>
      <c r="BP613" s="55">
        <v>0</v>
      </c>
      <c r="BQ613" s="55">
        <v>0</v>
      </c>
      <c r="BR613" s="55">
        <v>1067048.8190661599</v>
      </c>
      <c r="BS613" s="55"/>
      <c r="BT613" s="55"/>
      <c r="BU613" s="55">
        <v>0</v>
      </c>
      <c r="BV613" s="55">
        <v>0</v>
      </c>
      <c r="BW613" s="55">
        <v>0</v>
      </c>
      <c r="BX613" s="55">
        <v>0</v>
      </c>
      <c r="BY613" s="55">
        <v>0</v>
      </c>
      <c r="BZ613" s="55"/>
      <c r="CA613" s="63"/>
      <c r="CB613" s="64">
        <v>23334.19653384</v>
      </c>
      <c r="CD613" s="75"/>
      <c r="CE613" s="6"/>
    </row>
    <row r="614" spans="1:84" x14ac:dyDescent="0.25">
      <c r="A614" s="105">
        <f t="shared" si="174"/>
        <v>592</v>
      </c>
      <c r="B614" s="106">
        <f t="shared" si="170"/>
        <v>132</v>
      </c>
      <c r="C614" s="53" t="s">
        <v>108</v>
      </c>
      <c r="D614" s="53" t="s">
        <v>601</v>
      </c>
      <c r="E614" s="54">
        <v>1970</v>
      </c>
      <c r="F614" s="54">
        <v>2017</v>
      </c>
      <c r="G614" s="54" t="s">
        <v>64</v>
      </c>
      <c r="H614" s="54">
        <v>5</v>
      </c>
      <c r="I614" s="54">
        <v>2</v>
      </c>
      <c r="J614" s="55">
        <v>1774.6</v>
      </c>
      <c r="K614" s="55">
        <v>1596.4</v>
      </c>
      <c r="L614" s="55">
        <v>0</v>
      </c>
      <c r="M614" s="56">
        <v>61</v>
      </c>
      <c r="N614" s="112">
        <v>6020819.5499999998</v>
      </c>
      <c r="O614" s="55"/>
      <c r="P614" s="63"/>
      <c r="Q614" s="63"/>
      <c r="R614" s="62">
        <v>645312.31000000006</v>
      </c>
      <c r="S614" s="62">
        <v>5375507.2400000002</v>
      </c>
      <c r="T614" s="63"/>
      <c r="U614" s="63">
        <v>3719.1547717205099</v>
      </c>
      <c r="V614" s="63">
        <v>1272.2830200640001</v>
      </c>
      <c r="W614" s="59">
        <v>2024</v>
      </c>
      <c r="X614" s="6" t="e">
        <v>#REF!</v>
      </c>
      <c r="Z614" s="62">
        <f>SUM(AA614:AO614)</f>
        <v>9973803.0700000022</v>
      </c>
      <c r="AA614" s="55">
        <v>3804046.6453626002</v>
      </c>
      <c r="AB614" s="55">
        <v>1355538.2084109599</v>
      </c>
      <c r="AC614" s="55">
        <v>0</v>
      </c>
      <c r="AD614" s="55">
        <v>0</v>
      </c>
      <c r="AE614" s="55"/>
      <c r="AF614" s="55"/>
      <c r="AG614" s="55">
        <v>0</v>
      </c>
      <c r="AH614" s="55">
        <v>0</v>
      </c>
      <c r="AI614" s="55">
        <v>0</v>
      </c>
      <c r="AJ614" s="55">
        <v>0</v>
      </c>
      <c r="AK614" s="55">
        <v>3610744.2460324201</v>
      </c>
      <c r="AL614" s="55">
        <v>0</v>
      </c>
      <c r="AM614" s="55">
        <v>911946.60499999998</v>
      </c>
      <c r="AN614" s="63">
        <v>99738.030700000003</v>
      </c>
      <c r="AO614" s="64">
        <v>191789.33449402</v>
      </c>
      <c r="AP614" s="61">
        <f>+N614-'Приложение №2'!E614</f>
        <v>2.4253819137811661E-3</v>
      </c>
      <c r="AQ614" s="1">
        <f>825649.2-84643.55-266667.78</f>
        <v>474337.86999999988</v>
      </c>
      <c r="AR614" s="3">
        <f>+(K614*10.5+L614*21)*12*0.85</f>
        <v>170974.44</v>
      </c>
      <c r="AS614" s="3">
        <f>+(K614*10.5+L614*21)*12*30-19875.37-568427.42</f>
        <v>5446089.2100000009</v>
      </c>
      <c r="AT614" s="6">
        <f t="shared" si="168"/>
        <v>-70581.970000000671</v>
      </c>
      <c r="AU614" s="6" t="e">
        <v>#REF!</v>
      </c>
      <c r="AV614" s="6" t="e">
        <v>#REF!</v>
      </c>
      <c r="AW614" s="110">
        <f t="shared" si="172"/>
        <v>5937258.6775746178</v>
      </c>
      <c r="AX614" s="55">
        <v>3811453.2757858401</v>
      </c>
      <c r="AY614" s="55">
        <v>1833049.7373180699</v>
      </c>
      <c r="AZ614" s="55">
        <v>0</v>
      </c>
      <c r="BA614" s="55">
        <v>0</v>
      </c>
      <c r="BB614" s="55"/>
      <c r="BC614" s="55"/>
      <c r="BD614" s="55">
        <v>146248.291688611</v>
      </c>
      <c r="BE614" s="55">
        <v>0</v>
      </c>
      <c r="BF614" s="55">
        <v>0</v>
      </c>
      <c r="BG614" s="55">
        <v>0</v>
      </c>
      <c r="BH614" s="55">
        <v>0</v>
      </c>
      <c r="BI614" s="55">
        <v>0</v>
      </c>
      <c r="BJ614" s="55">
        <v>19875.37</v>
      </c>
      <c r="BK614" s="63"/>
      <c r="BL614" s="64">
        <v>126632.002782097</v>
      </c>
      <c r="BM614" s="110">
        <f t="shared" si="173"/>
        <v>5937258.6775746178</v>
      </c>
      <c r="BN614" s="55">
        <v>3811453.2757858401</v>
      </c>
      <c r="BO614" s="55">
        <v>1833049.7373180699</v>
      </c>
      <c r="BP614" s="55">
        <v>0</v>
      </c>
      <c r="BQ614" s="55">
        <v>0</v>
      </c>
      <c r="BR614" s="55"/>
      <c r="BS614" s="55"/>
      <c r="BT614" s="55">
        <v>146248.291688611</v>
      </c>
      <c r="BU614" s="55">
        <v>0</v>
      </c>
      <c r="BV614" s="55">
        <v>0</v>
      </c>
      <c r="BW614" s="55">
        <v>0</v>
      </c>
      <c r="BX614" s="55">
        <v>0</v>
      </c>
      <c r="BY614" s="55">
        <v>0</v>
      </c>
      <c r="BZ614" s="55">
        <v>19875.37</v>
      </c>
      <c r="CA614" s="63"/>
      <c r="CB614" s="64">
        <v>126632.002782097</v>
      </c>
      <c r="CD614" s="75"/>
      <c r="CE614" s="6"/>
      <c r="CF614" s="117"/>
    </row>
    <row r="615" spans="1:84" s="69" customFormat="1" x14ac:dyDescent="0.25">
      <c r="A615" s="105">
        <f t="shared" si="174"/>
        <v>593</v>
      </c>
      <c r="B615" s="106">
        <f t="shared" si="170"/>
        <v>133</v>
      </c>
      <c r="C615" s="53" t="s">
        <v>108</v>
      </c>
      <c r="D615" s="53" t="s">
        <v>337</v>
      </c>
      <c r="E615" s="54" t="s">
        <v>338</v>
      </c>
      <c r="F615" s="54"/>
      <c r="G615" s="54" t="s">
        <v>64</v>
      </c>
      <c r="H615" s="54" t="s">
        <v>184</v>
      </c>
      <c r="I615" s="54" t="s">
        <v>184</v>
      </c>
      <c r="J615" s="55">
        <v>3893.1</v>
      </c>
      <c r="K615" s="55">
        <v>3553.5</v>
      </c>
      <c r="L615" s="55">
        <v>0</v>
      </c>
      <c r="M615" s="56">
        <v>150</v>
      </c>
      <c r="N615" s="112">
        <v>17808296.199999999</v>
      </c>
      <c r="O615" s="55">
        <v>0</v>
      </c>
      <c r="P615" s="62">
        <v>1799713.52</v>
      </c>
      <c r="Q615" s="63"/>
      <c r="R615" s="62">
        <v>255443.21</v>
      </c>
      <c r="S615" s="62">
        <v>2728597.91</v>
      </c>
      <c r="T615" s="62">
        <v>13024541.560000001</v>
      </c>
      <c r="U615" s="63">
        <v>17913.0210460528</v>
      </c>
      <c r="V615" s="63">
        <v>1273.2830200640001</v>
      </c>
      <c r="W615" s="59">
        <v>2024</v>
      </c>
      <c r="X615" s="69">
        <v>609180.44999999995</v>
      </c>
      <c r="Y615" s="69">
        <f>+(K615*9.1+L615*18.19)*12</f>
        <v>388042.19999999995</v>
      </c>
      <c r="AA615" s="70" t="e">
        <v>#REF!</v>
      </c>
      <c r="AD615" s="70" t="e">
        <v>#REF!</v>
      </c>
      <c r="AP615" s="61">
        <f>+N615-'Приложение №2'!E615</f>
        <v>-2.141222357749939E-3</v>
      </c>
      <c r="AQ615" s="65">
        <v>1198086.6299999999</v>
      </c>
      <c r="AR615" s="3">
        <f>+(K615*10.5+L615*21)*12*0.85</f>
        <v>380579.85</v>
      </c>
      <c r="AS615" s="3">
        <f>+(K615*10.5+L615*21)*12*30</f>
        <v>13432230</v>
      </c>
      <c r="AT615" s="6">
        <f t="shared" si="168"/>
        <v>-10703632.09</v>
      </c>
      <c r="AU615" s="6" t="e">
        <v>#REF!</v>
      </c>
      <c r="AV615" s="6" t="e">
        <v>#REF!</v>
      </c>
      <c r="AW615" s="110">
        <f t="shared" si="172"/>
        <v>63653920.287148632</v>
      </c>
      <c r="AX615" s="55">
        <v>6426692.6863325499</v>
      </c>
      <c r="AY615" s="55">
        <v>3800269.7376763402</v>
      </c>
      <c r="AZ615" s="55">
        <v>4017145.7248026598</v>
      </c>
      <c r="BA615" s="55">
        <v>3169959.57002912</v>
      </c>
      <c r="BB615" s="55"/>
      <c r="BC615" s="55"/>
      <c r="BD615" s="55">
        <v>296539.21750751999</v>
      </c>
      <c r="BE615" s="55"/>
      <c r="BF615" s="55">
        <v>11567597.7275539</v>
      </c>
      <c r="BG615" s="55"/>
      <c r="BH615" s="55">
        <v>22710934.820188001</v>
      </c>
      <c r="BI615" s="55">
        <v>8931908.6262432002</v>
      </c>
      <c r="BJ615" s="55">
        <v>1439566.81218164</v>
      </c>
      <c r="BK615" s="63"/>
      <c r="BL615" s="64">
        <v>1293305.3646337001</v>
      </c>
      <c r="BM615" s="110">
        <f t="shared" si="173"/>
        <v>52086322.559594728</v>
      </c>
      <c r="BN615" s="55">
        <v>6426692.6863325499</v>
      </c>
      <c r="BO615" s="55">
        <v>3800269.7376763402</v>
      </c>
      <c r="BP615" s="55">
        <v>4017145.7248026598</v>
      </c>
      <c r="BQ615" s="55">
        <v>3169959.57002912</v>
      </c>
      <c r="BR615" s="55"/>
      <c r="BS615" s="55"/>
      <c r="BT615" s="55">
        <v>296539.21750751999</v>
      </c>
      <c r="BU615" s="55"/>
      <c r="BV615" s="55"/>
      <c r="BW615" s="55"/>
      <c r="BX615" s="55">
        <v>22710934.820188001</v>
      </c>
      <c r="BY615" s="55">
        <v>8931908.6262432002</v>
      </c>
      <c r="BZ615" s="55">
        <v>1439566.81218164</v>
      </c>
      <c r="CA615" s="63"/>
      <c r="CB615" s="64">
        <v>1293305.3646337001</v>
      </c>
      <c r="CD615" s="75"/>
      <c r="CE615" s="6"/>
      <c r="CF615" s="116"/>
    </row>
    <row r="616" spans="1:84" x14ac:dyDescent="0.25">
      <c r="A616" s="105">
        <f t="shared" si="174"/>
        <v>594</v>
      </c>
      <c r="B616" s="106">
        <f t="shared" si="170"/>
        <v>134</v>
      </c>
      <c r="C616" s="53" t="s">
        <v>108</v>
      </c>
      <c r="D616" s="53" t="s">
        <v>136</v>
      </c>
      <c r="E616" s="54">
        <v>1974</v>
      </c>
      <c r="F616" s="54">
        <v>2013</v>
      </c>
      <c r="G616" s="54" t="s">
        <v>64</v>
      </c>
      <c r="H616" s="54">
        <v>4</v>
      </c>
      <c r="I616" s="54">
        <v>4</v>
      </c>
      <c r="J616" s="55">
        <v>3890.5</v>
      </c>
      <c r="K616" s="55">
        <v>3406.6</v>
      </c>
      <c r="L616" s="55">
        <v>0</v>
      </c>
      <c r="M616" s="56">
        <v>175</v>
      </c>
      <c r="N616" s="112">
        <v>6459328.3799999999</v>
      </c>
      <c r="O616" s="55"/>
      <c r="P616" s="62">
        <v>1508576.21</v>
      </c>
      <c r="Q616" s="63"/>
      <c r="R616" s="62">
        <v>347208</v>
      </c>
      <c r="S616" s="63"/>
      <c r="T616" s="62">
        <v>4603544.17</v>
      </c>
      <c r="U616" s="63">
        <v>1896.12175915853</v>
      </c>
      <c r="V616" s="63">
        <v>1277.2830200640001</v>
      </c>
      <c r="W616" s="59">
        <v>2024</v>
      </c>
      <c r="X616" s="6" t="e">
        <v>#REF!</v>
      </c>
      <c r="Z616" s="62">
        <f>SUM(AA616:AO616)</f>
        <v>6381512.8400000008</v>
      </c>
      <c r="AA616" s="55">
        <v>5682903.1033538403</v>
      </c>
      <c r="AB616" s="55">
        <v>0</v>
      </c>
      <c r="AC616" s="55">
        <v>0</v>
      </c>
      <c r="AD616" s="55">
        <v>0</v>
      </c>
      <c r="AE616" s="55">
        <v>0</v>
      </c>
      <c r="AF616" s="55"/>
      <c r="AG616" s="55">
        <v>0</v>
      </c>
      <c r="AH616" s="55">
        <v>0</v>
      </c>
      <c r="AI616" s="55">
        <v>0</v>
      </c>
      <c r="AJ616" s="55">
        <v>0</v>
      </c>
      <c r="AK616" s="55">
        <v>0</v>
      </c>
      <c r="AL616" s="55">
        <v>0</v>
      </c>
      <c r="AM616" s="55">
        <v>510521.02720000001</v>
      </c>
      <c r="AN616" s="63">
        <v>63815.128400000001</v>
      </c>
      <c r="AO616" s="64">
        <v>124273.58104616</v>
      </c>
      <c r="AP616" s="61">
        <f>+N616-'Приложение №2'!E616</f>
        <v>-4.7494359314441681E-3</v>
      </c>
      <c r="AQ616" s="6">
        <f>1970404.04-R410</f>
        <v>1622930.84</v>
      </c>
      <c r="AR616" s="3">
        <f>+(K616*10.5+L616*21)*12*0.85</f>
        <v>364846.86</v>
      </c>
      <c r="AS616" s="3">
        <f>+(K616*10.5+L616*21)*12*30-S410</f>
        <v>12850464.048110001</v>
      </c>
      <c r="AT616" s="6">
        <f t="shared" si="168"/>
        <v>-12850464.048110001</v>
      </c>
      <c r="AU616" s="6" t="e">
        <v>#REF!</v>
      </c>
      <c r="AV616" s="6" t="e">
        <v>#REF!</v>
      </c>
      <c r="AW616" s="110">
        <f t="shared" si="172"/>
        <v>6459328.3847494358</v>
      </c>
      <c r="AX616" s="55">
        <v>6046174.0700000003</v>
      </c>
      <c r="AY616" s="55">
        <v>0</v>
      </c>
      <c r="AZ616" s="55">
        <v>0</v>
      </c>
      <c r="BA616" s="55">
        <v>0</v>
      </c>
      <c r="BB616" s="55">
        <v>0</v>
      </c>
      <c r="BC616" s="55"/>
      <c r="BD616" s="55">
        <v>282605.80883354199</v>
      </c>
      <c r="BE616" s="55">
        <v>0</v>
      </c>
      <c r="BF616" s="55">
        <v>0</v>
      </c>
      <c r="BG616" s="55">
        <v>0</v>
      </c>
      <c r="BH616" s="55">
        <v>0</v>
      </c>
      <c r="BI616" s="55">
        <v>0</v>
      </c>
      <c r="BJ616" s="55"/>
      <c r="BK616" s="63"/>
      <c r="BL616" s="64">
        <v>130548.50591589299</v>
      </c>
      <c r="BM616" s="110">
        <f t="shared" si="173"/>
        <v>6459328.3847494358</v>
      </c>
      <c r="BN616" s="55">
        <v>6046174.0700000003</v>
      </c>
      <c r="BO616" s="55">
        <v>0</v>
      </c>
      <c r="BP616" s="55">
        <v>0</v>
      </c>
      <c r="BQ616" s="55">
        <v>0</v>
      </c>
      <c r="BR616" s="55">
        <v>0</v>
      </c>
      <c r="BS616" s="55"/>
      <c r="BT616" s="55">
        <v>282605.80883354199</v>
      </c>
      <c r="BU616" s="55">
        <v>0</v>
      </c>
      <c r="BV616" s="55">
        <v>0</v>
      </c>
      <c r="BW616" s="55">
        <v>0</v>
      </c>
      <c r="BX616" s="55">
        <v>0</v>
      </c>
      <c r="BY616" s="55">
        <v>0</v>
      </c>
      <c r="BZ616" s="55"/>
      <c r="CA616" s="63"/>
      <c r="CB616" s="64">
        <v>130548.50591589299</v>
      </c>
      <c r="CD616" s="75"/>
      <c r="CE616" s="6"/>
    </row>
    <row r="617" spans="1:84" x14ac:dyDescent="0.25">
      <c r="A617" s="105">
        <f t="shared" si="174"/>
        <v>595</v>
      </c>
      <c r="B617" s="106">
        <f t="shared" si="170"/>
        <v>135</v>
      </c>
      <c r="C617" s="53" t="s">
        <v>108</v>
      </c>
      <c r="D617" s="53" t="s">
        <v>141</v>
      </c>
      <c r="E617" s="54">
        <v>1978</v>
      </c>
      <c r="F617" s="54">
        <v>2008</v>
      </c>
      <c r="G617" s="54" t="s">
        <v>64</v>
      </c>
      <c r="H617" s="54">
        <v>5</v>
      </c>
      <c r="I617" s="54">
        <v>4</v>
      </c>
      <c r="J617" s="55">
        <v>3883.8</v>
      </c>
      <c r="K617" s="55">
        <v>3458.3</v>
      </c>
      <c r="L617" s="55">
        <v>0</v>
      </c>
      <c r="M617" s="56">
        <v>222</v>
      </c>
      <c r="N617" s="112">
        <v>19186415.66</v>
      </c>
      <c r="O617" s="55"/>
      <c r="P617" s="62">
        <v>5199547.75</v>
      </c>
      <c r="Q617" s="63"/>
      <c r="R617" s="62">
        <v>1725806.01</v>
      </c>
      <c r="S617" s="62">
        <v>4289440.92</v>
      </c>
      <c r="T617" s="62">
        <v>7971620.9800000004</v>
      </c>
      <c r="U617" s="63">
        <v>7878.75</v>
      </c>
      <c r="V617" s="63">
        <v>1278.2830200640001</v>
      </c>
      <c r="W617" s="59">
        <v>2024</v>
      </c>
      <c r="X617" s="6"/>
      <c r="Z617" s="62"/>
      <c r="AA617" s="55"/>
      <c r="AB617" s="55"/>
      <c r="AC617" s="55"/>
      <c r="AD617" s="55"/>
      <c r="AE617" s="55"/>
      <c r="AF617" s="55"/>
      <c r="AG617" s="55"/>
      <c r="AH617" s="55"/>
      <c r="AI617" s="55"/>
      <c r="AJ617" s="55"/>
      <c r="AK617" s="55"/>
      <c r="AL617" s="55"/>
      <c r="AM617" s="55"/>
      <c r="AN617" s="63"/>
      <c r="AO617" s="64"/>
      <c r="AP617" s="61">
        <f>+N617-'Приложение №2'!E617</f>
        <v>2.893250435590744E-3</v>
      </c>
      <c r="AQ617" s="6">
        <f>2031878.21+AR84-R84</f>
        <v>1355422.08</v>
      </c>
      <c r="AR617" s="3">
        <f>+(K617*10.5+L617*21)*12*0.85</f>
        <v>370383.93000000005</v>
      </c>
      <c r="AS617" s="3">
        <f>+(K617*10.5+L617*21)*12*30-S84</f>
        <v>4289440.9156542011</v>
      </c>
      <c r="AT617" s="6"/>
      <c r="AU617" s="6"/>
      <c r="AV617" s="6"/>
      <c r="AW617" s="110">
        <f t="shared" si="172"/>
        <v>27247081.124999952</v>
      </c>
      <c r="AX617" s="55"/>
      <c r="AY617" s="55"/>
      <c r="AZ617" s="55"/>
      <c r="BA617" s="55"/>
      <c r="BB617" s="55"/>
      <c r="BC617" s="55"/>
      <c r="BD617" s="55"/>
      <c r="BE617" s="55"/>
      <c r="BF617" s="55"/>
      <c r="BG617" s="55"/>
      <c r="BH617" s="55">
        <v>23730954.2941432</v>
      </c>
      <c r="BI617" s="55">
        <v>0</v>
      </c>
      <c r="BJ617" s="55">
        <v>2724708.1124999998</v>
      </c>
      <c r="BK617" s="55">
        <v>272470.81125000003</v>
      </c>
      <c r="BL617" s="64">
        <v>518947.90710675</v>
      </c>
      <c r="BM617" s="110">
        <f t="shared" si="173"/>
        <v>27247081.124999952</v>
      </c>
      <c r="BN617" s="55"/>
      <c r="BO617" s="55"/>
      <c r="BP617" s="55"/>
      <c r="BQ617" s="55"/>
      <c r="BR617" s="55"/>
      <c r="BS617" s="55"/>
      <c r="BT617" s="55"/>
      <c r="BU617" s="55"/>
      <c r="BV617" s="55"/>
      <c r="BW617" s="55"/>
      <c r="BX617" s="55">
        <v>23730954.2941432</v>
      </c>
      <c r="BY617" s="55">
        <v>0</v>
      </c>
      <c r="BZ617" s="55">
        <v>2724708.1124999998</v>
      </c>
      <c r="CA617" s="55">
        <v>272470.81125000003</v>
      </c>
      <c r="CB617" s="64">
        <v>518947.90710675</v>
      </c>
      <c r="CD617" s="75"/>
      <c r="CE617" s="6"/>
      <c r="CF617" s="117"/>
    </row>
    <row r="618" spans="1:84" x14ac:dyDescent="0.25">
      <c r="A618" s="105">
        <f t="shared" si="174"/>
        <v>596</v>
      </c>
      <c r="B618" s="106">
        <f t="shared" si="170"/>
        <v>136</v>
      </c>
      <c r="C618" s="53" t="s">
        <v>108</v>
      </c>
      <c r="D618" s="53" t="s">
        <v>346</v>
      </c>
      <c r="E618" s="54">
        <v>1978</v>
      </c>
      <c r="F618" s="54">
        <v>2008</v>
      </c>
      <c r="G618" s="54" t="s">
        <v>64</v>
      </c>
      <c r="H618" s="54">
        <v>5</v>
      </c>
      <c r="I618" s="54">
        <v>4</v>
      </c>
      <c r="J618" s="55">
        <v>4929.7</v>
      </c>
      <c r="K618" s="55">
        <v>4335.1000000000004</v>
      </c>
      <c r="L618" s="55">
        <v>0</v>
      </c>
      <c r="M618" s="56">
        <v>213</v>
      </c>
      <c r="N618" s="112">
        <v>29041917.789999999</v>
      </c>
      <c r="O618" s="55"/>
      <c r="P618" s="62">
        <v>13843419.640000001</v>
      </c>
      <c r="Q618" s="63"/>
      <c r="R618" s="62">
        <v>778171.75</v>
      </c>
      <c r="S618" s="62">
        <v>8078358.1600000001</v>
      </c>
      <c r="T618" s="62">
        <v>6341968.2400000002</v>
      </c>
      <c r="U618" s="63">
        <v>5940.7446989091104</v>
      </c>
      <c r="V618" s="63">
        <v>1279.2830200640001</v>
      </c>
      <c r="W618" s="59">
        <v>2024</v>
      </c>
      <c r="X618" s="6" t="e">
        <v>#REF!</v>
      </c>
      <c r="Z618" s="62">
        <f>SUM(AA618:AO618)</f>
        <v>44837101.509929962</v>
      </c>
      <c r="AA618" s="55">
        <v>0</v>
      </c>
      <c r="AB618" s="55">
        <v>4199173.3275891002</v>
      </c>
      <c r="AC618" s="55">
        <v>4438837.1277801599</v>
      </c>
      <c r="AD618" s="55">
        <v>3384651.0431630402</v>
      </c>
      <c r="AE618" s="55">
        <v>1471946.54</v>
      </c>
      <c r="AF618" s="55"/>
      <c r="AG618" s="55">
        <v>360791.89596240001</v>
      </c>
      <c r="AH618" s="55">
        <v>0</v>
      </c>
      <c r="AI618" s="55">
        <v>0</v>
      </c>
      <c r="AJ618" s="55">
        <v>0</v>
      </c>
      <c r="AK618" s="55">
        <v>25094924.3780642</v>
      </c>
      <c r="AL618" s="55">
        <v>0</v>
      </c>
      <c r="AM618" s="55">
        <v>4627048.3442000002</v>
      </c>
      <c r="AN618" s="63">
        <v>433511.50790000003</v>
      </c>
      <c r="AO618" s="64">
        <v>826217.34527106001</v>
      </c>
      <c r="AP618" s="61">
        <f>+N618-'Приложение №2'!E618</f>
        <v>-6.1766617000102997E-3</v>
      </c>
      <c r="AQ618" s="6">
        <f>2077071.68</f>
        <v>2077071.68</v>
      </c>
      <c r="AR618" s="3">
        <f>+(K618*10+L618*20)*12*0.85</f>
        <v>442180.2</v>
      </c>
      <c r="AS618" s="3">
        <f>+(K618*10+L618*20)*12*30</f>
        <v>15606360</v>
      </c>
      <c r="AT618" s="6">
        <f t="shared" ref="AT618:AT642" si="175">+S618-AS618</f>
        <v>-7528001.8399999999</v>
      </c>
      <c r="AU618" s="6" t="e">
        <v>#REF!</v>
      </c>
      <c r="AV618" s="6" t="e">
        <v>#REF!</v>
      </c>
      <c r="AW618" s="62">
        <f t="shared" si="172"/>
        <v>25753722.344240859</v>
      </c>
      <c r="AX618" s="55">
        <v>0</v>
      </c>
      <c r="AY618" s="55"/>
      <c r="AZ618" s="55"/>
      <c r="BA618" s="55"/>
      <c r="BB618" s="55"/>
      <c r="BC618" s="55"/>
      <c r="BD618" s="55"/>
      <c r="BE618" s="55">
        <v>0</v>
      </c>
      <c r="BF618" s="55">
        <v>0</v>
      </c>
      <c r="BG618" s="55">
        <v>0</v>
      </c>
      <c r="BH618" s="55">
        <v>25094924.3780642</v>
      </c>
      <c r="BI618" s="55">
        <v>0</v>
      </c>
      <c r="BJ618" s="55"/>
      <c r="BK618" s="63"/>
      <c r="BL618" s="64">
        <f>555416.30026576+103381.6659109</f>
        <v>658797.96617666003</v>
      </c>
      <c r="BM618" s="62">
        <f t="shared" si="173"/>
        <v>25753722.344240859</v>
      </c>
      <c r="BN618" s="55">
        <v>0</v>
      </c>
      <c r="BO618" s="55"/>
      <c r="BP618" s="55"/>
      <c r="BQ618" s="55"/>
      <c r="BR618" s="55"/>
      <c r="BS618" s="55"/>
      <c r="BT618" s="55"/>
      <c r="BU618" s="55">
        <v>0</v>
      </c>
      <c r="BV618" s="55">
        <v>0</v>
      </c>
      <c r="BW618" s="55">
        <v>0</v>
      </c>
      <c r="BX618" s="55">
        <v>25094924.3780642</v>
      </c>
      <c r="BY618" s="55">
        <v>0</v>
      </c>
      <c r="BZ618" s="55"/>
      <c r="CA618" s="63"/>
      <c r="CB618" s="64">
        <f>555416.30026576+103381.6659109</f>
        <v>658797.96617666003</v>
      </c>
      <c r="CD618" s="75"/>
      <c r="CE618" s="6"/>
      <c r="CF618" s="6"/>
    </row>
    <row r="619" spans="1:84" x14ac:dyDescent="0.25">
      <c r="A619" s="105">
        <f t="shared" si="174"/>
        <v>597</v>
      </c>
      <c r="B619" s="106">
        <f t="shared" si="170"/>
        <v>137</v>
      </c>
      <c r="C619" s="107" t="s">
        <v>108</v>
      </c>
      <c r="D619" s="107" t="s">
        <v>602</v>
      </c>
      <c r="E619" s="54">
        <v>1981</v>
      </c>
      <c r="F619" s="54">
        <v>2009</v>
      </c>
      <c r="G619" s="54" t="s">
        <v>64</v>
      </c>
      <c r="H619" s="54">
        <v>5</v>
      </c>
      <c r="I619" s="54">
        <v>4</v>
      </c>
      <c r="J619" s="55">
        <v>6938.7</v>
      </c>
      <c r="K619" s="55">
        <v>6182.6</v>
      </c>
      <c r="L619" s="55">
        <v>0</v>
      </c>
      <c r="M619" s="56">
        <v>194</v>
      </c>
      <c r="N619" s="108">
        <v>35992521.460000001</v>
      </c>
      <c r="O619" s="63"/>
      <c r="P619" s="62">
        <v>1915504.48</v>
      </c>
      <c r="Q619" s="63"/>
      <c r="R619" s="62">
        <v>3054172.49</v>
      </c>
      <c r="S619" s="62">
        <v>5807839.7800000003</v>
      </c>
      <c r="T619" s="62">
        <v>25215004.710000001</v>
      </c>
      <c r="U619" s="55">
        <v>8696.48241719611</v>
      </c>
      <c r="V619" s="55">
        <v>8696.48241719611</v>
      </c>
      <c r="W619" s="59">
        <v>2024</v>
      </c>
      <c r="X619" s="6" t="e">
        <v>#REF!</v>
      </c>
      <c r="Z619" s="62">
        <f>SUM(AA619:AO619)</f>
        <v>112490116.45000003</v>
      </c>
      <c r="AA619" s="55">
        <v>10300846.191237399</v>
      </c>
      <c r="AB619" s="55">
        <v>5957260.9616612401</v>
      </c>
      <c r="AC619" s="55">
        <v>6297265.91769912</v>
      </c>
      <c r="AD619" s="55">
        <v>4801718.7991861198</v>
      </c>
      <c r="AE619" s="55">
        <v>1918188.3660231601</v>
      </c>
      <c r="AF619" s="55"/>
      <c r="AG619" s="55">
        <v>511846.3343322</v>
      </c>
      <c r="AH619" s="55">
        <v>0</v>
      </c>
      <c r="AI619" s="55">
        <v>18337074.5641356</v>
      </c>
      <c r="AJ619" s="55">
        <v>0</v>
      </c>
      <c r="AK619" s="55">
        <v>35601534.275782898</v>
      </c>
      <c r="AL619" s="55">
        <v>14001626.8190547</v>
      </c>
      <c r="AM619" s="55">
        <v>11500753.5758</v>
      </c>
      <c r="AN619" s="63">
        <v>1124901.1645</v>
      </c>
      <c r="AO619" s="64">
        <v>2137099.4805875798</v>
      </c>
      <c r="AP619" s="61">
        <f>+N619-'Приложение №2'!E617</f>
        <v>16806105.802893251</v>
      </c>
      <c r="AQ619" s="6">
        <f>2933225.6-137130.98-R324</f>
        <v>2378457.38</v>
      </c>
      <c r="AR619" s="3">
        <f>+(K619*10+L619*20)*12*0.85</f>
        <v>630625.19999999995</v>
      </c>
      <c r="AS619" s="3">
        <f>+(K619*10+L619*20)*12*30-S324</f>
        <v>19668438</v>
      </c>
      <c r="AT619" s="6">
        <f t="shared" si="175"/>
        <v>-13860598.219999999</v>
      </c>
      <c r="AU619" s="6" t="e">
        <v>#REF!</v>
      </c>
      <c r="AV619" s="6" t="e">
        <v>#REF!</v>
      </c>
      <c r="AW619" s="62">
        <f t="shared" si="172"/>
        <v>53766872.192556694</v>
      </c>
      <c r="AX619" s="55"/>
      <c r="AY619" s="55"/>
      <c r="AZ619" s="1">
        <v>4113294.16</v>
      </c>
      <c r="BA619" s="55"/>
      <c r="BB619" s="55"/>
      <c r="BC619" s="55"/>
      <c r="BD619" s="55"/>
      <c r="BE619" s="55">
        <v>0</v>
      </c>
      <c r="BF619" s="55"/>
      <c r="BG619" s="55">
        <v>0</v>
      </c>
      <c r="BH619" s="55">
        <v>35601534.275782898</v>
      </c>
      <c r="BI619" s="55">
        <v>13661056.57</v>
      </c>
      <c r="BJ619" s="55"/>
      <c r="BK619" s="63"/>
      <c r="BL619" s="111">
        <v>390987.1867738</v>
      </c>
      <c r="BM619" s="62">
        <f t="shared" si="173"/>
        <v>53766872.192556694</v>
      </c>
      <c r="BN619" s="55"/>
      <c r="BO619" s="55"/>
      <c r="BP619" s="3">
        <v>4113294.16</v>
      </c>
      <c r="BQ619" s="55"/>
      <c r="BR619" s="55"/>
      <c r="BS619" s="55"/>
      <c r="BT619" s="55"/>
      <c r="BU619" s="55">
        <v>0</v>
      </c>
      <c r="BV619" s="55"/>
      <c r="BW619" s="55">
        <v>0</v>
      </c>
      <c r="BX619" s="55">
        <v>35601534.275782898</v>
      </c>
      <c r="BY619" s="55">
        <v>13661056.57</v>
      </c>
      <c r="BZ619" s="55"/>
      <c r="CA619" s="63"/>
      <c r="CB619" s="64">
        <v>390987.1867738</v>
      </c>
      <c r="CD619" s="75"/>
      <c r="CE619" s="6"/>
    </row>
    <row r="620" spans="1:84" x14ac:dyDescent="0.25">
      <c r="A620" s="105">
        <f t="shared" si="174"/>
        <v>598</v>
      </c>
      <c r="B620" s="106">
        <f t="shared" si="170"/>
        <v>138</v>
      </c>
      <c r="C620" s="53" t="s">
        <v>108</v>
      </c>
      <c r="D620" s="53" t="s">
        <v>603</v>
      </c>
      <c r="E620" s="54">
        <v>1999</v>
      </c>
      <c r="F620" s="54">
        <v>1999</v>
      </c>
      <c r="G620" s="54" t="s">
        <v>64</v>
      </c>
      <c r="H620" s="54">
        <v>9</v>
      </c>
      <c r="I620" s="54">
        <v>3</v>
      </c>
      <c r="J620" s="55">
        <v>8088.49</v>
      </c>
      <c r="K620" s="55">
        <v>6790.2</v>
      </c>
      <c r="L620" s="55">
        <v>225.6</v>
      </c>
      <c r="M620" s="56">
        <v>255</v>
      </c>
      <c r="N620" s="112">
        <v>12813150</v>
      </c>
      <c r="O620" s="55"/>
      <c r="P620" s="63"/>
      <c r="Q620" s="63"/>
      <c r="R620" s="62">
        <v>6457441.8499999996</v>
      </c>
      <c r="S620" s="62">
        <v>6355708.1500000004</v>
      </c>
      <c r="T620" s="63"/>
      <c r="U620" s="63">
        <v>1887.00627374746</v>
      </c>
      <c r="V620" s="63">
        <v>1284.2830200640001</v>
      </c>
      <c r="W620" s="59">
        <v>2024</v>
      </c>
      <c r="X620" s="6"/>
      <c r="Z620" s="62"/>
      <c r="AA620" s="55"/>
      <c r="AB620" s="55"/>
      <c r="AC620" s="55"/>
      <c r="AD620" s="55"/>
      <c r="AE620" s="55"/>
      <c r="AF620" s="55"/>
      <c r="AG620" s="55"/>
      <c r="AH620" s="55"/>
      <c r="AI620" s="55"/>
      <c r="AJ620" s="55"/>
      <c r="AK620" s="55"/>
      <c r="AL620" s="55"/>
      <c r="AM620" s="55"/>
      <c r="AN620" s="63"/>
      <c r="AO620" s="64"/>
      <c r="AP620" s="61">
        <f>+N620-'Приложение №2'!E620</f>
        <v>0</v>
      </c>
      <c r="AQ620" s="65">
        <v>5436842.7999999998</v>
      </c>
      <c r="AR620" s="3">
        <f>+(K620*13.95+L620*23.65)*12*0.85</f>
        <v>1020599.046</v>
      </c>
      <c r="AS620" s="3">
        <f>+(K620*13.95+L620*23.65)*12*30</f>
        <v>36021142.799999997</v>
      </c>
      <c r="AT620" s="6">
        <f t="shared" si="175"/>
        <v>-29665434.649999999</v>
      </c>
      <c r="AU620" s="6" t="e">
        <v>#REF!</v>
      </c>
      <c r="AV620" s="6" t="e">
        <v>#REF!</v>
      </c>
      <c r="AW620" s="110">
        <f t="shared" si="172"/>
        <v>12813150</v>
      </c>
      <c r="AX620" s="55"/>
      <c r="AY620" s="55"/>
      <c r="AZ620" s="55"/>
      <c r="BA620" s="55"/>
      <c r="BB620" s="55"/>
      <c r="BC620" s="55"/>
      <c r="BD620" s="55"/>
      <c r="BE620" s="55">
        <v>12037390.646400001</v>
      </c>
      <c r="BF620" s="55"/>
      <c r="BG620" s="55"/>
      <c r="BH620" s="55"/>
      <c r="BI620" s="55"/>
      <c r="BJ620" s="55">
        <v>384394.5</v>
      </c>
      <c r="BK620" s="63">
        <v>128131.5</v>
      </c>
      <c r="BL620" s="64">
        <v>263233.35359999997</v>
      </c>
      <c r="BM620" s="110">
        <f t="shared" si="173"/>
        <v>12813150</v>
      </c>
      <c r="BN620" s="55"/>
      <c r="BO620" s="55"/>
      <c r="BP620" s="55"/>
      <c r="BQ620" s="55"/>
      <c r="BR620" s="55"/>
      <c r="BS620" s="55"/>
      <c r="BT620" s="55"/>
      <c r="BU620" s="55">
        <v>12037390.646400001</v>
      </c>
      <c r="BV620" s="55"/>
      <c r="BW620" s="55"/>
      <c r="BX620" s="55"/>
      <c r="BY620" s="55"/>
      <c r="BZ620" s="55">
        <v>384394.5</v>
      </c>
      <c r="CA620" s="63">
        <v>128131.5</v>
      </c>
      <c r="CB620" s="64">
        <v>263233.35359999997</v>
      </c>
      <c r="CD620" s="75"/>
      <c r="CE620" s="6"/>
    </row>
    <row r="621" spans="1:84" x14ac:dyDescent="0.25">
      <c r="A621" s="105">
        <f t="shared" si="174"/>
        <v>599</v>
      </c>
      <c r="B621" s="106">
        <f t="shared" si="170"/>
        <v>139</v>
      </c>
      <c r="C621" s="107" t="s">
        <v>108</v>
      </c>
      <c r="D621" s="107" t="s">
        <v>147</v>
      </c>
      <c r="E621" s="54">
        <v>1970</v>
      </c>
      <c r="F621" s="54">
        <v>2013</v>
      </c>
      <c r="G621" s="54" t="s">
        <v>64</v>
      </c>
      <c r="H621" s="54">
        <v>5</v>
      </c>
      <c r="I621" s="54">
        <v>4</v>
      </c>
      <c r="J621" s="55">
        <v>3068</v>
      </c>
      <c r="K621" s="55">
        <v>2483.8000000000002</v>
      </c>
      <c r="L621" s="55">
        <v>584.20000000000005</v>
      </c>
      <c r="M621" s="56">
        <v>142</v>
      </c>
      <c r="N621" s="62">
        <v>2454097.0099999998</v>
      </c>
      <c r="O621" s="63"/>
      <c r="P621" s="63"/>
      <c r="Q621" s="63"/>
      <c r="R621" s="108">
        <v>738446.42</v>
      </c>
      <c r="S621" s="62">
        <v>1715650.59</v>
      </c>
      <c r="T621" s="63"/>
      <c r="U621" s="63">
        <v>4744.8332253472399</v>
      </c>
      <c r="V621" s="63">
        <v>4744.8332253472399</v>
      </c>
      <c r="W621" s="59">
        <v>2024</v>
      </c>
      <c r="X621" s="6" t="e">
        <v>#REF!</v>
      </c>
      <c r="Z621" s="62">
        <f>SUM(AA621:AO621)</f>
        <v>25875618.41</v>
      </c>
      <c r="AA621" s="55">
        <v>5945419.54417866</v>
      </c>
      <c r="AB621" s="55">
        <v>2118597.4078747798</v>
      </c>
      <c r="AC621" s="55">
        <v>2213462.8846331402</v>
      </c>
      <c r="AD621" s="55">
        <v>1385767.7235401999</v>
      </c>
      <c r="AE621" s="55">
        <v>0</v>
      </c>
      <c r="AF621" s="55"/>
      <c r="AG621" s="55">
        <v>228142.02967667999</v>
      </c>
      <c r="AH621" s="55">
        <v>0</v>
      </c>
      <c r="AI621" s="55">
        <v>10869131.540912401</v>
      </c>
      <c r="AJ621" s="55">
        <v>0</v>
      </c>
      <c r="AK621" s="55">
        <v>0</v>
      </c>
      <c r="AL621" s="55">
        <v>0</v>
      </c>
      <c r="AM621" s="55">
        <v>2358614.5957999998</v>
      </c>
      <c r="AN621" s="63">
        <v>258756.18410000001</v>
      </c>
      <c r="AO621" s="64">
        <v>497726.49928414001</v>
      </c>
      <c r="AP621" s="61">
        <f>+N621-'Приложение №2'!E619</f>
        <v>-33538424.4525567</v>
      </c>
      <c r="AQ621" s="6">
        <f>504168.77-R445</f>
        <v>-197351.862186966</v>
      </c>
      <c r="AR621" s="3">
        <f>+(K621*10+L621*20)*12*0.85</f>
        <v>372524.39999999997</v>
      </c>
      <c r="AS621" s="3">
        <f>+(K621*10+L621*20)*12*30-S445</f>
        <v>9892962</v>
      </c>
      <c r="AT621" s="6">
        <f t="shared" si="175"/>
        <v>-8177311.4100000001</v>
      </c>
      <c r="AU621" s="6" t="e">
        <v>#REF!</v>
      </c>
      <c r="AV621" s="6" t="e">
        <v>#REF!</v>
      </c>
      <c r="AW621" s="62">
        <f t="shared" si="172"/>
        <v>14557148.33536532</v>
      </c>
      <c r="AX621" s="55">
        <v>6546503.21</v>
      </c>
      <c r="AY621" s="55">
        <v>2315850.2599999998</v>
      </c>
      <c r="AZ621" s="55"/>
      <c r="BA621" s="55"/>
      <c r="BB621" s="55"/>
      <c r="BC621" s="55"/>
      <c r="BD621" s="55"/>
      <c r="BE621" s="55"/>
      <c r="BF621" s="55">
        <v>5556548.1200000001</v>
      </c>
      <c r="BG621" s="55">
        <v>0</v>
      </c>
      <c r="BH621" s="55">
        <v>0</v>
      </c>
      <c r="BI621" s="55">
        <v>0</v>
      </c>
      <c r="BJ621" s="55"/>
      <c r="BK621" s="63"/>
      <c r="BL621" s="111">
        <v>138246.74536532001</v>
      </c>
      <c r="BM621" s="62">
        <f t="shared" si="173"/>
        <v>14557148.33536532</v>
      </c>
      <c r="BN621" s="55">
        <v>6546503.21</v>
      </c>
      <c r="BO621" s="55">
        <v>2315850.2599999998</v>
      </c>
      <c r="BP621" s="55"/>
      <c r="BQ621" s="55"/>
      <c r="BR621" s="55"/>
      <c r="BS621" s="55"/>
      <c r="BT621" s="55"/>
      <c r="BU621" s="55"/>
      <c r="BV621" s="55">
        <v>5556548.1200000001</v>
      </c>
      <c r="BW621" s="55">
        <v>0</v>
      </c>
      <c r="BX621" s="55">
        <v>0</v>
      </c>
      <c r="BY621" s="55">
        <v>0</v>
      </c>
      <c r="BZ621" s="55"/>
      <c r="CA621" s="63"/>
      <c r="CB621" s="64">
        <v>138246.74536532001</v>
      </c>
      <c r="CD621" s="75"/>
      <c r="CE621" s="6"/>
    </row>
    <row r="622" spans="1:84" ht="15.75" customHeight="1" x14ac:dyDescent="0.25">
      <c r="A622" s="105">
        <f t="shared" si="174"/>
        <v>600</v>
      </c>
      <c r="B622" s="106">
        <f t="shared" si="170"/>
        <v>140</v>
      </c>
      <c r="C622" s="53" t="s">
        <v>108</v>
      </c>
      <c r="D622" s="53" t="s">
        <v>604</v>
      </c>
      <c r="E622" s="54">
        <v>1985</v>
      </c>
      <c r="F622" s="54">
        <v>2013</v>
      </c>
      <c r="G622" s="54" t="s">
        <v>64</v>
      </c>
      <c r="H622" s="54">
        <v>4</v>
      </c>
      <c r="I622" s="54">
        <v>3</v>
      </c>
      <c r="J622" s="55">
        <v>4161.1499999999996</v>
      </c>
      <c r="K622" s="55">
        <v>3740.02</v>
      </c>
      <c r="L622" s="55">
        <v>392.4</v>
      </c>
      <c r="M622" s="56">
        <v>277</v>
      </c>
      <c r="N622" s="112">
        <v>3922392.2</v>
      </c>
      <c r="O622" s="55"/>
      <c r="P622" s="63"/>
      <c r="Q622" s="63"/>
      <c r="R622" s="62">
        <v>2278497.52</v>
      </c>
      <c r="S622" s="62">
        <v>1207782.0900000001</v>
      </c>
      <c r="T622" s="62">
        <v>436112.59</v>
      </c>
      <c r="U622" s="63">
        <v>1048.76236065234</v>
      </c>
      <c r="V622" s="63">
        <v>1286.2830200640001</v>
      </c>
      <c r="W622" s="59">
        <v>2024</v>
      </c>
      <c r="X622" s="6" t="e">
        <v>#REF!</v>
      </c>
      <c r="Z622" s="62">
        <f>SUM(AA622:AO622)</f>
        <v>14208184.49</v>
      </c>
      <c r="AA622" s="55">
        <v>0</v>
      </c>
      <c r="AB622" s="55">
        <v>0</v>
      </c>
      <c r="AC622" s="55">
        <v>3486279.6066130199</v>
      </c>
      <c r="AD622" s="55">
        <v>0</v>
      </c>
      <c r="AE622" s="55">
        <v>0</v>
      </c>
      <c r="AF622" s="55"/>
      <c r="AG622" s="55">
        <v>0</v>
      </c>
      <c r="AH622" s="55">
        <v>0</v>
      </c>
      <c r="AI622" s="55">
        <v>0</v>
      </c>
      <c r="AJ622" s="55">
        <v>0</v>
      </c>
      <c r="AK622" s="55">
        <v>8888395.5076904409</v>
      </c>
      <c r="AL622" s="55">
        <v>0</v>
      </c>
      <c r="AM622" s="55">
        <v>1420818.449</v>
      </c>
      <c r="AN622" s="63">
        <v>142081.8449</v>
      </c>
      <c r="AO622" s="64">
        <v>270609.08179654001</v>
      </c>
      <c r="AP622" s="61">
        <f>+N622-'Приложение №2'!E622</f>
        <v>-4.0869796648621559E-3</v>
      </c>
      <c r="AQ622" s="65">
        <v>2221476.85</v>
      </c>
      <c r="AR622" s="3">
        <f t="shared" ref="AR622:AR628" si="176">+(K622*10.5+L622*21)*12*0.85</f>
        <v>484608.22200000007</v>
      </c>
      <c r="AS622" s="3">
        <f>+(K622*10.5+L622*21)*12*30</f>
        <v>17103819.600000001</v>
      </c>
      <c r="AT622" s="6">
        <f t="shared" si="175"/>
        <v>-15896037.510000002</v>
      </c>
      <c r="AU622" s="6" t="e">
        <v>#REF!</v>
      </c>
      <c r="AV622" s="6" t="e">
        <v>#REF!</v>
      </c>
      <c r="AW622" s="110">
        <f t="shared" si="172"/>
        <v>3922392.2040869799</v>
      </c>
      <c r="AX622" s="55">
        <v>0</v>
      </c>
      <c r="AY622" s="55">
        <v>0</v>
      </c>
      <c r="AZ622" s="55">
        <v>3846154.33</v>
      </c>
      <c r="BA622" s="55">
        <v>0</v>
      </c>
      <c r="BB622" s="55">
        <v>0</v>
      </c>
      <c r="BC622" s="55"/>
      <c r="BD622" s="55"/>
      <c r="BE622" s="55">
        <v>0</v>
      </c>
      <c r="BF622" s="55">
        <v>0</v>
      </c>
      <c r="BG622" s="55">
        <v>0</v>
      </c>
      <c r="BH622" s="55"/>
      <c r="BI622" s="55">
        <v>0</v>
      </c>
      <c r="BJ622" s="55"/>
      <c r="BK622" s="63"/>
      <c r="BL622" s="111">
        <v>76237.874086979995</v>
      </c>
      <c r="BM622" s="110">
        <f t="shared" si="173"/>
        <v>3922392.2040869799</v>
      </c>
      <c r="BN622" s="55">
        <v>0</v>
      </c>
      <c r="BO622" s="55">
        <v>0</v>
      </c>
      <c r="BP622" s="55">
        <v>3846154.33</v>
      </c>
      <c r="BQ622" s="55">
        <v>0</v>
      </c>
      <c r="BR622" s="55">
        <v>0</v>
      </c>
      <c r="BS622" s="55"/>
      <c r="BT622" s="55"/>
      <c r="BU622" s="55">
        <v>0</v>
      </c>
      <c r="BV622" s="55">
        <v>0</v>
      </c>
      <c r="BW622" s="55">
        <v>0</v>
      </c>
      <c r="BX622" s="55"/>
      <c r="BY622" s="55">
        <v>0</v>
      </c>
      <c r="BZ622" s="55"/>
      <c r="CA622" s="63"/>
      <c r="CB622" s="64">
        <v>76237.874086979995</v>
      </c>
      <c r="CD622" s="75"/>
      <c r="CE622" s="6"/>
    </row>
    <row r="623" spans="1:84" x14ac:dyDescent="0.25">
      <c r="A623" s="105">
        <f t="shared" si="174"/>
        <v>601</v>
      </c>
      <c r="B623" s="106">
        <f t="shared" si="170"/>
        <v>141</v>
      </c>
      <c r="C623" s="53" t="s">
        <v>108</v>
      </c>
      <c r="D623" s="53" t="s">
        <v>605</v>
      </c>
      <c r="E623" s="54">
        <v>1984</v>
      </c>
      <c r="F623" s="54">
        <v>2013</v>
      </c>
      <c r="G623" s="54" t="s">
        <v>64</v>
      </c>
      <c r="H623" s="54">
        <v>4</v>
      </c>
      <c r="I623" s="54">
        <v>6</v>
      </c>
      <c r="J623" s="55">
        <v>5500.86</v>
      </c>
      <c r="K623" s="55">
        <v>4979.26</v>
      </c>
      <c r="L623" s="55">
        <v>0</v>
      </c>
      <c r="M623" s="56">
        <v>210</v>
      </c>
      <c r="N623" s="112">
        <v>2317647.4900000002</v>
      </c>
      <c r="O623" s="55"/>
      <c r="P623" s="63"/>
      <c r="Q623" s="63"/>
      <c r="R623" s="62">
        <v>2317647.4900000002</v>
      </c>
      <c r="S623" s="63"/>
      <c r="T623" s="63"/>
      <c r="U623" s="63">
        <v>466.631917192515</v>
      </c>
      <c r="V623" s="63">
        <v>1287.2830200640001</v>
      </c>
      <c r="W623" s="59">
        <v>2024</v>
      </c>
      <c r="X623" s="6" t="e">
        <v>#REF!</v>
      </c>
      <c r="Z623" s="62">
        <f>SUM(AA623:AO623)</f>
        <v>2299959.7399999998</v>
      </c>
      <c r="AA623" s="55">
        <v>0</v>
      </c>
      <c r="AB623" s="55">
        <v>0</v>
      </c>
      <c r="AC623" s="55">
        <v>0</v>
      </c>
      <c r="AD623" s="55">
        <v>0</v>
      </c>
      <c r="AE623" s="55">
        <v>2156118.250734</v>
      </c>
      <c r="AF623" s="55"/>
      <c r="AG623" s="55">
        <v>0</v>
      </c>
      <c r="AH623" s="55">
        <v>0</v>
      </c>
      <c r="AI623" s="55">
        <v>0</v>
      </c>
      <c r="AJ623" s="55">
        <v>0</v>
      </c>
      <c r="AK623" s="55">
        <v>0</v>
      </c>
      <c r="AL623" s="55">
        <v>0</v>
      </c>
      <c r="AM623" s="55">
        <v>90857.4</v>
      </c>
      <c r="AN623" s="55">
        <v>5834.15</v>
      </c>
      <c r="AO623" s="64">
        <v>47149.939266000001</v>
      </c>
      <c r="AP623" s="61">
        <f>+N623-'Приложение №2'!E623</f>
        <v>0</v>
      </c>
      <c r="AQ623" s="65">
        <v>2867493.87</v>
      </c>
      <c r="AR623" s="3">
        <f t="shared" si="176"/>
        <v>533278.74600000004</v>
      </c>
      <c r="AS623" s="3">
        <f>+(K623*10.5+L623*21)*12*30</f>
        <v>18821602.800000001</v>
      </c>
      <c r="AT623" s="6">
        <f t="shared" si="175"/>
        <v>-18821602.800000001</v>
      </c>
      <c r="AU623" s="6" t="e">
        <v>#REF!</v>
      </c>
      <c r="AV623" s="6" t="e">
        <v>#REF!</v>
      </c>
      <c r="AW623" s="110">
        <f t="shared" si="172"/>
        <v>2323481.6399999997</v>
      </c>
      <c r="AX623" s="55">
        <v>0</v>
      </c>
      <c r="AY623" s="55">
        <v>0</v>
      </c>
      <c r="AZ623" s="55">
        <v>0</v>
      </c>
      <c r="BA623" s="55">
        <v>0</v>
      </c>
      <c r="BB623" s="55">
        <v>2156118.250734</v>
      </c>
      <c r="BC623" s="55"/>
      <c r="BD623" s="55"/>
      <c r="BE623" s="55">
        <v>0</v>
      </c>
      <c r="BF623" s="55">
        <v>0</v>
      </c>
      <c r="BG623" s="55">
        <v>0</v>
      </c>
      <c r="BH623" s="55">
        <v>0</v>
      </c>
      <c r="BI623" s="55">
        <v>0</v>
      </c>
      <c r="BJ623" s="55">
        <v>114379.3</v>
      </c>
      <c r="BK623" s="55">
        <v>5834.15</v>
      </c>
      <c r="BL623" s="64">
        <v>47149.939266000001</v>
      </c>
      <c r="BM623" s="110">
        <f t="shared" si="173"/>
        <v>2323481.6399999997</v>
      </c>
      <c r="BN623" s="55">
        <v>0</v>
      </c>
      <c r="BO623" s="55">
        <v>0</v>
      </c>
      <c r="BP623" s="55">
        <v>0</v>
      </c>
      <c r="BQ623" s="55">
        <v>0</v>
      </c>
      <c r="BR623" s="55">
        <v>2156118.250734</v>
      </c>
      <c r="BS623" s="55"/>
      <c r="BT623" s="55"/>
      <c r="BU623" s="55">
        <v>0</v>
      </c>
      <c r="BV623" s="55">
        <v>0</v>
      </c>
      <c r="BW623" s="55">
        <v>0</v>
      </c>
      <c r="BX623" s="55">
        <v>0</v>
      </c>
      <c r="BY623" s="55">
        <v>0</v>
      </c>
      <c r="BZ623" s="55">
        <v>114379.3</v>
      </c>
      <c r="CA623" s="55">
        <v>5834.15</v>
      </c>
      <c r="CB623" s="64">
        <v>47149.939266000001</v>
      </c>
      <c r="CD623" s="75"/>
      <c r="CE623" s="6"/>
    </row>
    <row r="624" spans="1:84" x14ac:dyDescent="0.25">
      <c r="A624" s="105">
        <f t="shared" si="174"/>
        <v>602</v>
      </c>
      <c r="B624" s="106">
        <f t="shared" si="170"/>
        <v>142</v>
      </c>
      <c r="C624" s="53" t="s">
        <v>108</v>
      </c>
      <c r="D624" s="53" t="s">
        <v>606</v>
      </c>
      <c r="E624" s="54">
        <v>1987</v>
      </c>
      <c r="F624" s="54">
        <v>2010</v>
      </c>
      <c r="G624" s="54" t="s">
        <v>64</v>
      </c>
      <c r="H624" s="54">
        <v>5</v>
      </c>
      <c r="I624" s="54">
        <v>2</v>
      </c>
      <c r="J624" s="55">
        <v>3854.65</v>
      </c>
      <c r="K624" s="55">
        <v>3186.55</v>
      </c>
      <c r="L624" s="55">
        <v>663.3</v>
      </c>
      <c r="M624" s="56">
        <v>157</v>
      </c>
      <c r="N624" s="112">
        <v>2325132.89</v>
      </c>
      <c r="O624" s="55"/>
      <c r="P624" s="63"/>
      <c r="Q624" s="63"/>
      <c r="R624" s="3">
        <v>2325132.89</v>
      </c>
      <c r="S624" s="63"/>
      <c r="T624" s="63"/>
      <c r="U624" s="63">
        <v>724.49455098668898</v>
      </c>
      <c r="V624" s="63">
        <v>1288.2830200640001</v>
      </c>
      <c r="W624" s="59">
        <v>2024</v>
      </c>
      <c r="X624" s="6" t="e">
        <v>#REF!</v>
      </c>
      <c r="Z624" s="62">
        <f>SUM(AA624:AO624)</f>
        <v>1607265</v>
      </c>
      <c r="AA624" s="55">
        <v>0</v>
      </c>
      <c r="AB624" s="55">
        <v>0</v>
      </c>
      <c r="AC624" s="55">
        <v>0</v>
      </c>
      <c r="AD624" s="55">
        <v>0</v>
      </c>
      <c r="AE624" s="55">
        <v>1460685.5846520001</v>
      </c>
      <c r="AF624" s="55"/>
      <c r="AG624" s="55">
        <v>0</v>
      </c>
      <c r="AH624" s="55">
        <v>0</v>
      </c>
      <c r="AI624" s="55">
        <v>0</v>
      </c>
      <c r="AJ624" s="55">
        <v>0</v>
      </c>
      <c r="AK624" s="55">
        <v>0</v>
      </c>
      <c r="AL624" s="55">
        <v>0</v>
      </c>
      <c r="AM624" s="55">
        <v>107698.68</v>
      </c>
      <c r="AN624" s="55">
        <v>6938.5</v>
      </c>
      <c r="AO624" s="64">
        <v>31942.235347999998</v>
      </c>
      <c r="AP624" s="61">
        <f>+N624-'Приложение №2'!E624</f>
        <v>-1.4466275461018085E-3</v>
      </c>
      <c r="AQ624" s="65">
        <v>2581749.19</v>
      </c>
      <c r="AR624" s="3">
        <f t="shared" si="176"/>
        <v>483358.36499999993</v>
      </c>
      <c r="AS624" s="3">
        <f>+(K624*10.5+L624*21)*12*30</f>
        <v>17059706.999999996</v>
      </c>
      <c r="AT624" s="6">
        <f t="shared" si="175"/>
        <v>-17059706.999999996</v>
      </c>
      <c r="AU624" s="6" t="e">
        <v>#REF!</v>
      </c>
      <c r="AV624" s="6" t="e">
        <v>#REF!</v>
      </c>
      <c r="AW624" s="110">
        <f t="shared" si="172"/>
        <v>2308638.1114466279</v>
      </c>
      <c r="AX624" s="55">
        <v>0</v>
      </c>
      <c r="AY624" s="55">
        <v>0</v>
      </c>
      <c r="AZ624" s="55">
        <v>0</v>
      </c>
      <c r="BA624" s="55">
        <v>0</v>
      </c>
      <c r="BB624" s="55">
        <v>2147049.3115136698</v>
      </c>
      <c r="BC624" s="55"/>
      <c r="BD624" s="55"/>
      <c r="BE624" s="55">
        <v>0</v>
      </c>
      <c r="BF624" s="55">
        <v>0</v>
      </c>
      <c r="BG624" s="55">
        <v>0</v>
      </c>
      <c r="BH624" s="55">
        <v>0</v>
      </c>
      <c r="BI624" s="55">
        <v>0</v>
      </c>
      <c r="BJ624" s="55">
        <v>107698.68</v>
      </c>
      <c r="BK624" s="55">
        <v>6938.5</v>
      </c>
      <c r="BL624" s="64">
        <v>46951.619932957903</v>
      </c>
      <c r="BM624" s="110">
        <f t="shared" si="173"/>
        <v>2308638.1114466279</v>
      </c>
      <c r="BN624" s="55">
        <v>0</v>
      </c>
      <c r="BO624" s="55">
        <v>0</v>
      </c>
      <c r="BP624" s="55">
        <v>0</v>
      </c>
      <c r="BQ624" s="55">
        <v>0</v>
      </c>
      <c r="BR624" s="55">
        <v>2147049.3115136698</v>
      </c>
      <c r="BS624" s="55"/>
      <c r="BT624" s="55"/>
      <c r="BU624" s="55">
        <v>0</v>
      </c>
      <c r="BV624" s="55">
        <v>0</v>
      </c>
      <c r="BW624" s="55">
        <v>0</v>
      </c>
      <c r="BX624" s="55">
        <v>0</v>
      </c>
      <c r="BY624" s="55">
        <v>0</v>
      </c>
      <c r="BZ624" s="55">
        <v>107698.68</v>
      </c>
      <c r="CA624" s="55">
        <v>6938.5</v>
      </c>
      <c r="CB624" s="64">
        <v>46951.619932957903</v>
      </c>
      <c r="CD624" s="75"/>
      <c r="CE624" s="6"/>
    </row>
    <row r="625" spans="1:84" x14ac:dyDescent="0.25">
      <c r="A625" s="105">
        <f t="shared" si="174"/>
        <v>603</v>
      </c>
      <c r="B625" s="106">
        <f t="shared" si="170"/>
        <v>143</v>
      </c>
      <c r="C625" s="53" t="s">
        <v>108</v>
      </c>
      <c r="D625" s="53" t="s">
        <v>607</v>
      </c>
      <c r="E625" s="54">
        <v>1971</v>
      </c>
      <c r="F625" s="54">
        <v>2013</v>
      </c>
      <c r="G625" s="54" t="s">
        <v>64</v>
      </c>
      <c r="H625" s="54">
        <v>4</v>
      </c>
      <c r="I625" s="54">
        <v>3</v>
      </c>
      <c r="J625" s="55">
        <v>2008.51</v>
      </c>
      <c r="K625" s="55">
        <v>1482.45</v>
      </c>
      <c r="L625" s="55">
        <v>500.2</v>
      </c>
      <c r="M625" s="56">
        <v>43</v>
      </c>
      <c r="N625" s="112">
        <v>3377022.14</v>
      </c>
      <c r="O625" s="55"/>
      <c r="P625" s="63"/>
      <c r="Q625" s="63"/>
      <c r="R625" s="62">
        <v>1653537.72</v>
      </c>
      <c r="S625" s="62">
        <v>1723484.42</v>
      </c>
      <c r="T625" s="62"/>
      <c r="U625" s="63">
        <v>3238.11375899723</v>
      </c>
      <c r="V625" s="63">
        <v>1290.2830200640001</v>
      </c>
      <c r="W625" s="59">
        <v>2024</v>
      </c>
      <c r="X625" s="6" t="e">
        <v>#REF!</v>
      </c>
      <c r="Z625" s="62">
        <f>SUM(AA625:AO625)</f>
        <v>3401210.6845643325</v>
      </c>
      <c r="AA625" s="55">
        <v>0</v>
      </c>
      <c r="AB625" s="55">
        <v>1379299.4009521401</v>
      </c>
      <c r="AC625" s="55">
        <v>0</v>
      </c>
      <c r="AD625" s="55">
        <v>923467.08456419199</v>
      </c>
      <c r="AE625" s="55">
        <v>677323.96666200005</v>
      </c>
      <c r="AF625" s="55"/>
      <c r="AG625" s="55">
        <v>142086.04594800001</v>
      </c>
      <c r="AH625" s="55">
        <v>0</v>
      </c>
      <c r="AI625" s="55">
        <v>0</v>
      </c>
      <c r="AJ625" s="55">
        <v>0</v>
      </c>
      <c r="AK625" s="55">
        <v>0</v>
      </c>
      <c r="AL625" s="55">
        <v>0</v>
      </c>
      <c r="AM625" s="55">
        <v>164690.01</v>
      </c>
      <c r="AN625" s="55">
        <v>46068.5</v>
      </c>
      <c r="AO625" s="64">
        <v>68275.676437999995</v>
      </c>
      <c r="AP625" s="61">
        <f>+N625-'Приложение №2'!E625</f>
        <v>1.6061966307461262E-3</v>
      </c>
      <c r="AQ625" s="65">
        <v>1411566.35</v>
      </c>
      <c r="AR625" s="3">
        <f t="shared" si="176"/>
        <v>265913.23499999999</v>
      </c>
      <c r="AS625" s="3">
        <f>+(K625*10.5+L625*21)*12*30</f>
        <v>9385173</v>
      </c>
      <c r="AT625" s="6">
        <f t="shared" si="175"/>
        <v>-7661688.5800000001</v>
      </c>
      <c r="AU625" s="6" t="e">
        <v>#REF!</v>
      </c>
      <c r="AV625" s="6" t="e">
        <v>#REF!</v>
      </c>
      <c r="AW625" s="110">
        <f t="shared" si="172"/>
        <v>4800341.7420254331</v>
      </c>
      <c r="AX625" s="55">
        <v>0</v>
      </c>
      <c r="AY625" s="55">
        <v>2484345.9417034402</v>
      </c>
      <c r="AZ625" s="55">
        <v>0</v>
      </c>
      <c r="BA625" s="55">
        <v>2073651.44707319</v>
      </c>
      <c r="BB625" s="55"/>
      <c r="BC625" s="55"/>
      <c r="BD625" s="55"/>
      <c r="BE625" s="55">
        <v>0</v>
      </c>
      <c r="BF625" s="55">
        <v>0</v>
      </c>
      <c r="BG625" s="55">
        <v>0</v>
      </c>
      <c r="BH625" s="55">
        <v>0</v>
      </c>
      <c r="BI625" s="55">
        <v>0</v>
      </c>
      <c r="BJ625" s="55">
        <v>94862.92</v>
      </c>
      <c r="BK625" s="55">
        <v>47941.864855</v>
      </c>
      <c r="BL625" s="64">
        <v>99539.568393802998</v>
      </c>
      <c r="BM625" s="110">
        <f t="shared" si="173"/>
        <v>4800341.7420254331</v>
      </c>
      <c r="BN625" s="55">
        <v>0</v>
      </c>
      <c r="BO625" s="55">
        <v>2484345.9417034402</v>
      </c>
      <c r="BP625" s="55">
        <v>0</v>
      </c>
      <c r="BQ625" s="55">
        <v>2073651.44707319</v>
      </c>
      <c r="BR625" s="55"/>
      <c r="BS625" s="55"/>
      <c r="BT625" s="55"/>
      <c r="BU625" s="55">
        <v>0</v>
      </c>
      <c r="BV625" s="55">
        <v>0</v>
      </c>
      <c r="BW625" s="55">
        <v>0</v>
      </c>
      <c r="BX625" s="55">
        <v>0</v>
      </c>
      <c r="BY625" s="55">
        <v>0</v>
      </c>
      <c r="BZ625" s="55">
        <v>94862.92</v>
      </c>
      <c r="CA625" s="55">
        <v>47941.864855</v>
      </c>
      <c r="CB625" s="64">
        <v>99539.568393802998</v>
      </c>
      <c r="CD625" s="75"/>
      <c r="CE625" s="6"/>
      <c r="CF625" s="117"/>
    </row>
    <row r="626" spans="1:84" x14ac:dyDescent="0.25">
      <c r="A626" s="105">
        <f t="shared" si="174"/>
        <v>604</v>
      </c>
      <c r="B626" s="106">
        <f t="shared" si="170"/>
        <v>144</v>
      </c>
      <c r="C626" s="53" t="s">
        <v>108</v>
      </c>
      <c r="D626" s="53" t="s">
        <v>350</v>
      </c>
      <c r="E626" s="54">
        <v>1972</v>
      </c>
      <c r="F626" s="54">
        <v>2013</v>
      </c>
      <c r="G626" s="54" t="s">
        <v>64</v>
      </c>
      <c r="H626" s="54">
        <v>4</v>
      </c>
      <c r="I626" s="54">
        <v>4</v>
      </c>
      <c r="J626" s="55">
        <v>3047.8</v>
      </c>
      <c r="K626" s="55">
        <v>2789.4</v>
      </c>
      <c r="L626" s="55">
        <v>0</v>
      </c>
      <c r="M626" s="56">
        <v>107</v>
      </c>
      <c r="N626" s="112">
        <v>2067021.53</v>
      </c>
      <c r="O626" s="55"/>
      <c r="P626" s="62">
        <v>346316.58</v>
      </c>
      <c r="Q626" s="63"/>
      <c r="R626" s="62">
        <v>298744.74</v>
      </c>
      <c r="S626" s="63"/>
      <c r="T626" s="62">
        <v>1421960.21</v>
      </c>
      <c r="U626" s="55">
        <v>7603.05611937301</v>
      </c>
      <c r="V626" s="55">
        <v>7603.05611937301</v>
      </c>
      <c r="W626" s="59">
        <v>2024</v>
      </c>
      <c r="X626" s="6"/>
      <c r="Z626" s="62"/>
      <c r="AA626" s="55"/>
      <c r="AB626" s="55"/>
      <c r="AC626" s="55"/>
      <c r="AD626" s="55"/>
      <c r="AE626" s="55"/>
      <c r="AF626" s="55"/>
      <c r="AG626" s="55"/>
      <c r="AH626" s="55"/>
      <c r="AI626" s="55"/>
      <c r="AJ626" s="55"/>
      <c r="AK626" s="55"/>
      <c r="AL626" s="55"/>
      <c r="AM626" s="55"/>
      <c r="AN626" s="55"/>
      <c r="AO626" s="64"/>
      <c r="AP626" s="61">
        <f>+N626-'Приложение №2'!E626</f>
        <v>2.0494379568845034E-3</v>
      </c>
      <c r="AQ626" s="6">
        <f>1184908.35-361522.2864-R272</f>
        <v>0</v>
      </c>
      <c r="AR626" s="3">
        <f t="shared" si="176"/>
        <v>298744.74</v>
      </c>
      <c r="AT626" s="6">
        <f t="shared" si="175"/>
        <v>0</v>
      </c>
      <c r="AU626" s="6" t="e">
        <v>#REF!</v>
      </c>
      <c r="AV626" s="6" t="e">
        <v>#REF!</v>
      </c>
      <c r="AW626" s="62">
        <f t="shared" si="172"/>
        <v>21207964.739379063</v>
      </c>
      <c r="AX626" s="55"/>
      <c r="AY626" s="55"/>
      <c r="AZ626" s="55"/>
      <c r="BA626" s="55"/>
      <c r="BB626" s="55">
        <v>1211587.8700000001</v>
      </c>
      <c r="BC626" s="55"/>
      <c r="BD626" s="55">
        <v>0</v>
      </c>
      <c r="BE626" s="55">
        <v>0</v>
      </c>
      <c r="BF626" s="55"/>
      <c r="BG626" s="55">
        <v>0</v>
      </c>
      <c r="BH626" s="55">
        <v>19140943.211428501</v>
      </c>
      <c r="BI626" s="55"/>
      <c r="BJ626" s="55"/>
      <c r="BK626" s="55"/>
      <c r="BL626" s="64">
        <v>855433.65795056196</v>
      </c>
      <c r="BM626" s="62">
        <f t="shared" si="173"/>
        <v>21207964.739379063</v>
      </c>
      <c r="BN626" s="55"/>
      <c r="BO626" s="55"/>
      <c r="BP626" s="55"/>
      <c r="BQ626" s="55"/>
      <c r="BR626" s="55">
        <v>1211587.8700000001</v>
      </c>
      <c r="BS626" s="55"/>
      <c r="BT626" s="55">
        <v>0</v>
      </c>
      <c r="BU626" s="55">
        <v>0</v>
      </c>
      <c r="BV626" s="55"/>
      <c r="BW626" s="55">
        <v>0</v>
      </c>
      <c r="BX626" s="55">
        <v>19140943.211428501</v>
      </c>
      <c r="BY626" s="55"/>
      <c r="BZ626" s="55"/>
      <c r="CA626" s="55"/>
      <c r="CB626" s="64">
        <v>855433.65795056196</v>
      </c>
      <c r="CD626" s="75"/>
      <c r="CE626" s="6"/>
    </row>
    <row r="627" spans="1:84" x14ac:dyDescent="0.25">
      <c r="A627" s="105">
        <f t="shared" si="174"/>
        <v>605</v>
      </c>
      <c r="B627" s="106">
        <f t="shared" si="170"/>
        <v>145</v>
      </c>
      <c r="C627" s="53" t="s">
        <v>108</v>
      </c>
      <c r="D627" s="53" t="s">
        <v>351</v>
      </c>
      <c r="E627" s="54">
        <v>1974</v>
      </c>
      <c r="F627" s="54">
        <v>2013</v>
      </c>
      <c r="G627" s="54" t="s">
        <v>64</v>
      </c>
      <c r="H627" s="54">
        <v>4</v>
      </c>
      <c r="I627" s="54">
        <v>4</v>
      </c>
      <c r="J627" s="55">
        <v>2989.2</v>
      </c>
      <c r="K627" s="55">
        <v>2536.9</v>
      </c>
      <c r="L627" s="55">
        <v>230.9</v>
      </c>
      <c r="M627" s="56">
        <v>90</v>
      </c>
      <c r="N627" s="112">
        <v>2058287.38</v>
      </c>
      <c r="O627" s="55"/>
      <c r="P627" s="62">
        <v>1705010.53</v>
      </c>
      <c r="Q627" s="63"/>
      <c r="R627" s="108">
        <v>353276.85</v>
      </c>
      <c r="S627" s="63"/>
      <c r="T627" s="63"/>
      <c r="U627" s="55">
        <v>7605.6834899925698</v>
      </c>
      <c r="V627" s="55">
        <v>7605.6834899925698</v>
      </c>
      <c r="W627" s="59">
        <v>2024</v>
      </c>
      <c r="X627" s="6"/>
      <c r="Z627" s="62"/>
      <c r="AA627" s="55"/>
      <c r="AB627" s="55"/>
      <c r="AC627" s="55"/>
      <c r="AD627" s="55"/>
      <c r="AE627" s="55"/>
      <c r="AF627" s="55"/>
      <c r="AG627" s="55"/>
      <c r="AH627" s="55"/>
      <c r="AI627" s="55"/>
      <c r="AJ627" s="55"/>
      <c r="AK627" s="55"/>
      <c r="AL627" s="55"/>
      <c r="AM627" s="55"/>
      <c r="AN627" s="55"/>
      <c r="AO627" s="64"/>
      <c r="AP627" s="61">
        <f>+N627-'Приложение №2'!E627</f>
        <v>5.1530769560486078E-3</v>
      </c>
      <c r="AQ627" s="6">
        <f>1292399.14-848241.5751-R273</f>
        <v>266494.54489999986</v>
      </c>
      <c r="AR627" s="3">
        <f t="shared" si="176"/>
        <v>321160.77</v>
      </c>
      <c r="AT627" s="6">
        <f t="shared" si="175"/>
        <v>0</v>
      </c>
      <c r="AU627" s="6" t="e">
        <v>#REF!</v>
      </c>
      <c r="AV627" s="6" t="e">
        <v>#REF!</v>
      </c>
      <c r="AW627" s="62">
        <f t="shared" si="172"/>
        <v>21051010.763601422</v>
      </c>
      <c r="AX627" s="55"/>
      <c r="AY627" s="55"/>
      <c r="AZ627" s="55"/>
      <c r="BA627" s="55"/>
      <c r="BB627" s="55">
        <v>1210025.69</v>
      </c>
      <c r="BC627" s="55"/>
      <c r="BD627" s="55">
        <v>0</v>
      </c>
      <c r="BE627" s="55">
        <v>0</v>
      </c>
      <c r="BF627" s="55"/>
      <c r="BG627" s="55">
        <v>0</v>
      </c>
      <c r="BH627" s="55">
        <v>18992723.388754498</v>
      </c>
      <c r="BI627" s="55"/>
      <c r="BJ627" s="55"/>
      <c r="BK627" s="55"/>
      <c r="BL627" s="64">
        <v>848261.68484692299</v>
      </c>
      <c r="BM627" s="62">
        <f t="shared" si="173"/>
        <v>21051010.763601422</v>
      </c>
      <c r="BN627" s="55"/>
      <c r="BO627" s="55"/>
      <c r="BP627" s="55"/>
      <c r="BQ627" s="55"/>
      <c r="BR627" s="55">
        <v>1210025.69</v>
      </c>
      <c r="BS627" s="55"/>
      <c r="BT627" s="55">
        <v>0</v>
      </c>
      <c r="BU627" s="55">
        <v>0</v>
      </c>
      <c r="BV627" s="55"/>
      <c r="BW627" s="55">
        <v>0</v>
      </c>
      <c r="BX627" s="55">
        <v>18992723.388754498</v>
      </c>
      <c r="BY627" s="55"/>
      <c r="BZ627" s="55"/>
      <c r="CA627" s="55"/>
      <c r="CB627" s="64">
        <v>848261.68484692299</v>
      </c>
      <c r="CD627" s="75"/>
      <c r="CE627" s="6"/>
    </row>
    <row r="628" spans="1:84" x14ac:dyDescent="0.25">
      <c r="A628" s="105">
        <f t="shared" si="174"/>
        <v>606</v>
      </c>
      <c r="B628" s="106">
        <f t="shared" si="170"/>
        <v>146</v>
      </c>
      <c r="C628" s="53" t="s">
        <v>108</v>
      </c>
      <c r="D628" s="53" t="s">
        <v>154</v>
      </c>
      <c r="E628" s="54">
        <v>1976</v>
      </c>
      <c r="F628" s="54">
        <v>2013</v>
      </c>
      <c r="G628" s="54" t="s">
        <v>64</v>
      </c>
      <c r="H628" s="54">
        <v>4</v>
      </c>
      <c r="I628" s="54">
        <v>6</v>
      </c>
      <c r="J628" s="55">
        <v>5727.3</v>
      </c>
      <c r="K628" s="55">
        <v>4928.1000000000004</v>
      </c>
      <c r="L628" s="55">
        <v>70.7</v>
      </c>
      <c r="M628" s="56">
        <v>234</v>
      </c>
      <c r="N628" s="112">
        <v>5232438.43</v>
      </c>
      <c r="O628" s="55"/>
      <c r="P628" s="63"/>
      <c r="Q628" s="63"/>
      <c r="R628" s="62">
        <v>3066162.88</v>
      </c>
      <c r="S628" s="62">
        <v>2166275.5499999998</v>
      </c>
      <c r="T628" s="63"/>
      <c r="U628" s="63">
        <v>1061.7557322063301</v>
      </c>
      <c r="V628" s="63">
        <v>1292.2830200640001</v>
      </c>
      <c r="W628" s="59">
        <v>2024</v>
      </c>
      <c r="X628" s="6" t="e">
        <v>#REF!</v>
      </c>
      <c r="Z628" s="62">
        <f>SUM(AA628:AO628)</f>
        <v>8101376.7311859997</v>
      </c>
      <c r="AA628" s="55">
        <v>0</v>
      </c>
      <c r="AB628" s="55">
        <v>0</v>
      </c>
      <c r="AC628" s="55">
        <v>5108867.6053762203</v>
      </c>
      <c r="AD628" s="55">
        <v>0</v>
      </c>
      <c r="AE628" s="55">
        <v>2022198.06</v>
      </c>
      <c r="AF628" s="55"/>
      <c r="AG628" s="55">
        <v>0</v>
      </c>
      <c r="AH628" s="55">
        <v>0</v>
      </c>
      <c r="AI628" s="55">
        <v>0</v>
      </c>
      <c r="AJ628" s="55">
        <v>0</v>
      </c>
      <c r="AK628" s="55">
        <v>0</v>
      </c>
      <c r="AL628" s="55">
        <v>0</v>
      </c>
      <c r="AM628" s="55">
        <v>786081.95299999998</v>
      </c>
      <c r="AN628" s="63">
        <v>60658.294300000001</v>
      </c>
      <c r="AO628" s="64">
        <v>123570.81850978</v>
      </c>
      <c r="AP628" s="61">
        <f>+N628-'Приложение №2'!E628</f>
        <v>6.1139995232224464E-3</v>
      </c>
      <c r="AQ628" s="6">
        <f>2797278.8-R95</f>
        <v>2523219.428814</v>
      </c>
      <c r="AR628" s="3">
        <f t="shared" si="176"/>
        <v>542943.44999999995</v>
      </c>
      <c r="AS628" s="3">
        <f>+(K628*10.5+L628*21)*12*30-S95</f>
        <v>18696706.41</v>
      </c>
      <c r="AT628" s="6">
        <f t="shared" si="175"/>
        <v>-16530430.859999999</v>
      </c>
      <c r="AU628" s="6" t="e">
        <v>#REF!</v>
      </c>
      <c r="AV628" s="6" t="e">
        <v>#REF!</v>
      </c>
      <c r="AW628" s="110">
        <f t="shared" si="172"/>
        <v>5232438.4238860002</v>
      </c>
      <c r="AX628" s="55">
        <v>0</v>
      </c>
      <c r="AY628" s="55">
        <v>0</v>
      </c>
      <c r="AZ628" s="55">
        <v>5108867.6053762203</v>
      </c>
      <c r="BA628" s="55">
        <v>0</v>
      </c>
      <c r="BB628" s="55"/>
      <c r="BC628" s="55"/>
      <c r="BD628" s="55"/>
      <c r="BE628" s="55">
        <v>0</v>
      </c>
      <c r="BF628" s="55">
        <v>0</v>
      </c>
      <c r="BG628" s="55">
        <v>0</v>
      </c>
      <c r="BH628" s="55">
        <v>0</v>
      </c>
      <c r="BI628" s="55">
        <v>0</v>
      </c>
      <c r="BJ628" s="55"/>
      <c r="BK628" s="63"/>
      <c r="BL628" s="111">
        <v>123570.81850978</v>
      </c>
      <c r="BM628" s="110">
        <f t="shared" si="173"/>
        <v>5232438.4238860002</v>
      </c>
      <c r="BN628" s="55">
        <v>0</v>
      </c>
      <c r="BO628" s="55">
        <v>0</v>
      </c>
      <c r="BP628" s="55">
        <v>5108867.6053762203</v>
      </c>
      <c r="BQ628" s="55">
        <v>0</v>
      </c>
      <c r="BR628" s="55"/>
      <c r="BS628" s="55"/>
      <c r="BT628" s="55"/>
      <c r="BU628" s="55">
        <v>0</v>
      </c>
      <c r="BV628" s="55">
        <v>0</v>
      </c>
      <c r="BW628" s="55">
        <v>0</v>
      </c>
      <c r="BX628" s="55">
        <v>0</v>
      </c>
      <c r="BY628" s="55">
        <v>0</v>
      </c>
      <c r="BZ628" s="55"/>
      <c r="CA628" s="63"/>
      <c r="CB628" s="64">
        <v>123570.81850978</v>
      </c>
      <c r="CD628" s="75"/>
      <c r="CE628" s="6"/>
    </row>
    <row r="629" spans="1:84" s="69" customFormat="1" x14ac:dyDescent="0.25">
      <c r="A629" s="105">
        <f t="shared" si="174"/>
        <v>607</v>
      </c>
      <c r="B629" s="106">
        <f t="shared" si="170"/>
        <v>147</v>
      </c>
      <c r="C629" s="53" t="s">
        <v>108</v>
      </c>
      <c r="D629" s="53" t="s">
        <v>353</v>
      </c>
      <c r="E629" s="54" t="s">
        <v>338</v>
      </c>
      <c r="F629" s="54"/>
      <c r="G629" s="54" t="s">
        <v>64</v>
      </c>
      <c r="H629" s="54" t="s">
        <v>184</v>
      </c>
      <c r="I629" s="54" t="s">
        <v>184</v>
      </c>
      <c r="J629" s="55">
        <v>4032.8</v>
      </c>
      <c r="K629" s="55">
        <v>3458.5</v>
      </c>
      <c r="L629" s="55">
        <v>0</v>
      </c>
      <c r="M629" s="56">
        <v>156</v>
      </c>
      <c r="N629" s="112">
        <v>35600106.149999999</v>
      </c>
      <c r="O629" s="55">
        <v>0</v>
      </c>
      <c r="P629" s="62">
        <v>7966995.8399999999</v>
      </c>
      <c r="Q629" s="63"/>
      <c r="R629" s="62">
        <v>1975744.77</v>
      </c>
      <c r="S629" s="62">
        <v>12450600</v>
      </c>
      <c r="T629" s="62">
        <v>13206765.539999999</v>
      </c>
      <c r="U629" s="55">
        <v>14851.7595489707</v>
      </c>
      <c r="V629" s="55">
        <v>14851.7595489707</v>
      </c>
      <c r="W629" s="59">
        <v>2024</v>
      </c>
      <c r="X629" s="69">
        <v>1316311.58</v>
      </c>
      <c r="Y629" s="69">
        <f>+(K629*9.1+L629*18.19)*12</f>
        <v>377668.19999999995</v>
      </c>
      <c r="AA629" s="70" t="e">
        <v>#REF!</v>
      </c>
      <c r="AD629" s="70" t="e">
        <v>#REF!</v>
      </c>
      <c r="AP629" s="61">
        <f>+N629-'Приложение №2'!E627</f>
        <v>33541818.775153074</v>
      </c>
      <c r="AQ629" s="69">
        <v>1622977.77</v>
      </c>
      <c r="AR629" s="3">
        <f>+(K629*10+L629*20)*12*0.85</f>
        <v>352767</v>
      </c>
      <c r="AS629" s="3">
        <f>+(K629*10+L629*20)*12*30</f>
        <v>12450600</v>
      </c>
      <c r="AT629" s="6">
        <f t="shared" si="175"/>
        <v>0</v>
      </c>
      <c r="AU629" s="6" t="e">
        <v>#REF!</v>
      </c>
      <c r="AV629" s="6" t="e">
        <v>#REF!</v>
      </c>
      <c r="AW629" s="62">
        <f t="shared" si="172"/>
        <v>51364810.400115304</v>
      </c>
      <c r="AX629" s="55">
        <v>6144729.9015154103</v>
      </c>
      <c r="AY629" s="55">
        <v>3579457.7618007301</v>
      </c>
      <c r="AZ629" s="55">
        <v>3887139.10374681</v>
      </c>
      <c r="BA629" s="55">
        <v>2975701.9584087301</v>
      </c>
      <c r="BB629" s="55">
        <v>1375468.2230831799</v>
      </c>
      <c r="BC629" s="55"/>
      <c r="BD629" s="55">
        <v>292698.95808608597</v>
      </c>
      <c r="BE629" s="55"/>
      <c r="BF629" s="55"/>
      <c r="BG629" s="55"/>
      <c r="BH629" s="55">
        <v>22115449.1287481</v>
      </c>
      <c r="BI629" s="55">
        <v>8607388.0582517795</v>
      </c>
      <c r="BJ629" s="55">
        <v>1315726.92</v>
      </c>
      <c r="BK629" s="63"/>
      <c r="BL629" s="111">
        <v>1071050.3864744699</v>
      </c>
      <c r="BM629" s="62">
        <f t="shared" si="173"/>
        <v>51364810.400115304</v>
      </c>
      <c r="BN629" s="55">
        <v>6144729.9015154103</v>
      </c>
      <c r="BO629" s="55">
        <v>3579457.7618007301</v>
      </c>
      <c r="BP629" s="55">
        <v>3887139.10374681</v>
      </c>
      <c r="BQ629" s="55">
        <v>2975701.9584087301</v>
      </c>
      <c r="BR629" s="55">
        <v>1375468.2230831799</v>
      </c>
      <c r="BS629" s="55"/>
      <c r="BT629" s="55">
        <v>292698.95808608597</v>
      </c>
      <c r="BU629" s="55"/>
      <c r="BV629" s="55"/>
      <c r="BW629" s="55"/>
      <c r="BX629" s="55">
        <v>22115449.1287481</v>
      </c>
      <c r="BY629" s="55">
        <v>8607388.0582517795</v>
      </c>
      <c r="BZ629" s="55">
        <v>1315726.92</v>
      </c>
      <c r="CA629" s="63"/>
      <c r="CB629" s="64">
        <v>1071050.3864744699</v>
      </c>
      <c r="CD629" s="75"/>
      <c r="CE629" s="6"/>
      <c r="CF629" s="116"/>
    </row>
    <row r="630" spans="1:84" x14ac:dyDescent="0.25">
      <c r="A630" s="105">
        <f t="shared" si="174"/>
        <v>608</v>
      </c>
      <c r="B630" s="106">
        <f t="shared" si="170"/>
        <v>148</v>
      </c>
      <c r="C630" s="53" t="s">
        <v>108</v>
      </c>
      <c r="D630" s="53" t="s">
        <v>608</v>
      </c>
      <c r="E630" s="54">
        <v>1990</v>
      </c>
      <c r="F630" s="54">
        <v>2013</v>
      </c>
      <c r="G630" s="54" t="s">
        <v>64</v>
      </c>
      <c r="H630" s="54">
        <v>9</v>
      </c>
      <c r="I630" s="54">
        <v>4</v>
      </c>
      <c r="J630" s="55">
        <v>10682.7</v>
      </c>
      <c r="K630" s="55">
        <v>8792</v>
      </c>
      <c r="L630" s="55">
        <v>69.3</v>
      </c>
      <c r="M630" s="56">
        <v>381</v>
      </c>
      <c r="N630" s="112">
        <v>35751773.619999997</v>
      </c>
      <c r="O630" s="55"/>
      <c r="P630" s="63"/>
      <c r="Q630" s="63"/>
      <c r="R630" s="62">
        <v>4436688.29</v>
      </c>
      <c r="S630" s="62">
        <v>31315085.329999998</v>
      </c>
      <c r="T630" s="63"/>
      <c r="U630" s="63">
        <v>4049.3907244039901</v>
      </c>
      <c r="V630" s="63">
        <v>1293.2830200640001</v>
      </c>
      <c r="W630" s="59">
        <v>2024</v>
      </c>
      <c r="X630" s="6" t="e">
        <v>#REF!</v>
      </c>
      <c r="Z630" s="62">
        <f>SUM(AA630:AO630)</f>
        <v>38109556.814411029</v>
      </c>
      <c r="AA630" s="55">
        <v>12649079.980151201</v>
      </c>
      <c r="AB630" s="55">
        <v>6869704.5973592401</v>
      </c>
      <c r="AC630" s="55">
        <v>8171118.1097510997</v>
      </c>
      <c r="AD630" s="55">
        <v>3937651.5042933598</v>
      </c>
      <c r="AE630" s="55">
        <v>0</v>
      </c>
      <c r="AF630" s="55"/>
      <c r="AG630" s="55">
        <v>952026.39550956001</v>
      </c>
      <c r="AH630" s="55">
        <v>0</v>
      </c>
      <c r="AI630" s="55"/>
      <c r="AJ630" s="55">
        <v>0</v>
      </c>
      <c r="AK630" s="55">
        <v>0</v>
      </c>
      <c r="AL630" s="55">
        <v>0</v>
      </c>
      <c r="AM630" s="55">
        <v>4209405.1087999996</v>
      </c>
      <c r="AN630" s="63">
        <v>452335.14649999997</v>
      </c>
      <c r="AO630" s="64">
        <v>868235.97204658005</v>
      </c>
      <c r="AP630" s="61">
        <f>+N630-'Приложение №2'!E630</f>
        <v>1.0401606559753418E-3</v>
      </c>
      <c r="AQ630" s="1">
        <f>6652820.84-3483863.47</f>
        <v>3168957.3699999996</v>
      </c>
      <c r="AR630" s="3">
        <f t="shared" ref="AR630:AR635" si="177">+(K630*13.95+L630*23.65)*12*0.85</f>
        <v>1267730.919</v>
      </c>
      <c r="AS630" s="3">
        <f>+(K630*13.95+L630*23.65)*12*30-447549.13</f>
        <v>44295895.07</v>
      </c>
      <c r="AT630" s="6">
        <f t="shared" si="175"/>
        <v>-12980809.740000002</v>
      </c>
      <c r="AU630" s="6" t="e">
        <v>#REF!</v>
      </c>
      <c r="AV630" s="6" t="e">
        <v>#REF!</v>
      </c>
      <c r="AW630" s="110">
        <f t="shared" si="172"/>
        <v>35602243.248959839</v>
      </c>
      <c r="AX630" s="55">
        <v>14803506.67</v>
      </c>
      <c r="AY630" s="55">
        <v>6869704.5973592401</v>
      </c>
      <c r="AZ630" s="55">
        <v>8171118.1097510997</v>
      </c>
      <c r="BA630" s="55">
        <v>3937651.5042933598</v>
      </c>
      <c r="BB630" s="55">
        <v>0</v>
      </c>
      <c r="BC630" s="55"/>
      <c r="BD630" s="55">
        <v>952026.39550956001</v>
      </c>
      <c r="BE630" s="55">
        <v>0</v>
      </c>
      <c r="BF630" s="55"/>
      <c r="BG630" s="55">
        <v>0</v>
      </c>
      <c r="BH630" s="55">
        <v>0</v>
      </c>
      <c r="BI630" s="55">
        <v>0</v>
      </c>
      <c r="BJ630" s="55"/>
      <c r="BK630" s="63"/>
      <c r="BL630" s="64">
        <v>868235.97204658005</v>
      </c>
      <c r="BM630" s="110">
        <f t="shared" si="173"/>
        <v>35602243.248959839</v>
      </c>
      <c r="BN630" s="55">
        <v>14803506.67</v>
      </c>
      <c r="BO630" s="55">
        <v>6869704.5973592401</v>
      </c>
      <c r="BP630" s="55">
        <v>8171118.1097510997</v>
      </c>
      <c r="BQ630" s="55">
        <v>3937651.5042933598</v>
      </c>
      <c r="BR630" s="55">
        <v>0</v>
      </c>
      <c r="BS630" s="55"/>
      <c r="BT630" s="55">
        <v>952026.39550956001</v>
      </c>
      <c r="BU630" s="55">
        <v>0</v>
      </c>
      <c r="BV630" s="55"/>
      <c r="BW630" s="55">
        <v>0</v>
      </c>
      <c r="BX630" s="55">
        <v>0</v>
      </c>
      <c r="BY630" s="55">
        <v>0</v>
      </c>
      <c r="BZ630" s="55"/>
      <c r="CA630" s="63"/>
      <c r="CB630" s="64">
        <v>868235.97204658005</v>
      </c>
      <c r="CD630" s="75"/>
      <c r="CE630" s="6"/>
    </row>
    <row r="631" spans="1:84" x14ac:dyDescent="0.25">
      <c r="A631" s="105">
        <f t="shared" si="174"/>
        <v>609</v>
      </c>
      <c r="B631" s="106">
        <f t="shared" si="170"/>
        <v>149</v>
      </c>
      <c r="C631" s="53" t="s">
        <v>108</v>
      </c>
      <c r="D631" s="53" t="s">
        <v>609</v>
      </c>
      <c r="E631" s="54">
        <v>1994</v>
      </c>
      <c r="F631" s="54">
        <v>2013</v>
      </c>
      <c r="G631" s="54" t="s">
        <v>64</v>
      </c>
      <c r="H631" s="54">
        <v>9</v>
      </c>
      <c r="I631" s="54">
        <v>3</v>
      </c>
      <c r="J631" s="55">
        <v>8919.33</v>
      </c>
      <c r="K631" s="55">
        <v>6658.4</v>
      </c>
      <c r="L631" s="55">
        <v>0</v>
      </c>
      <c r="M631" s="56">
        <v>285</v>
      </c>
      <c r="N631" s="112">
        <v>16958003.27</v>
      </c>
      <c r="O631" s="55"/>
      <c r="P631" s="63"/>
      <c r="Q631" s="63"/>
      <c r="R631" s="62">
        <v>3570825.25</v>
      </c>
      <c r="S631" s="62">
        <v>13387178.02</v>
      </c>
      <c r="T631" s="113">
        <v>0</v>
      </c>
      <c r="U631" s="63">
        <v>2440.4521949080699</v>
      </c>
      <c r="V631" s="63">
        <v>1294.2830200640001</v>
      </c>
      <c r="W631" s="59">
        <v>2024</v>
      </c>
      <c r="X631" s="6" t="e">
        <v>#REF!</v>
      </c>
      <c r="Z631" s="62">
        <f>SUM(AA631:AO631)</f>
        <v>14135263.039999999</v>
      </c>
      <c r="AA631" s="55">
        <v>0</v>
      </c>
      <c r="AB631" s="55">
        <v>0</v>
      </c>
      <c r="AC631" s="55">
        <v>0</v>
      </c>
      <c r="AD631" s="55">
        <v>0</v>
      </c>
      <c r="AE631" s="55">
        <v>0</v>
      </c>
      <c r="AF631" s="55"/>
      <c r="AG631" s="55">
        <v>0</v>
      </c>
      <c r="AH631" s="55">
        <v>0</v>
      </c>
      <c r="AI631" s="55">
        <v>0</v>
      </c>
      <c r="AJ631" s="55">
        <v>0</v>
      </c>
      <c r="AK631" s="55">
        <v>0</v>
      </c>
      <c r="AL631" s="55">
        <v>13564306.14693</v>
      </c>
      <c r="AM631" s="55">
        <v>193212.03</v>
      </c>
      <c r="AN631" s="55">
        <v>81120.960000000006</v>
      </c>
      <c r="AO631" s="64">
        <v>296623.90307</v>
      </c>
      <c r="AP631" s="61" t="e">
        <f>+N631-#REF!</f>
        <v>#REF!</v>
      </c>
      <c r="AQ631" s="1">
        <f>5247070.49-1910372.27-713296.71</f>
        <v>2623401.5100000002</v>
      </c>
      <c r="AR631" s="3">
        <f t="shared" si="177"/>
        <v>947423.73599999992</v>
      </c>
      <c r="AS631" s="3">
        <f>+(K631*13.95+L631*23.65)*12*30-3114194.79-7865381.35-93203.45</f>
        <v>22365705.209999997</v>
      </c>
      <c r="AT631" s="6">
        <f t="shared" si="175"/>
        <v>-8978527.1899999976</v>
      </c>
      <c r="AU631" s="6" t="e">
        <v>#REF!</v>
      </c>
      <c r="AV631" s="6" t="e">
        <v>#REF!</v>
      </c>
      <c r="AW631" s="110">
        <f t="shared" si="172"/>
        <v>16249506.894575901</v>
      </c>
      <c r="AX631" s="55">
        <v>0</v>
      </c>
      <c r="AY631" s="55">
        <v>0</v>
      </c>
      <c r="AZ631" s="55">
        <v>0</v>
      </c>
      <c r="BA631" s="55">
        <v>0</v>
      </c>
      <c r="BB631" s="55"/>
      <c r="BC631" s="55"/>
      <c r="BD631" s="55"/>
      <c r="BE631" s="55">
        <v>0</v>
      </c>
      <c r="BF631" s="55">
        <v>0</v>
      </c>
      <c r="BG631" s="55">
        <v>0</v>
      </c>
      <c r="BH631" s="55">
        <v>0</v>
      </c>
      <c r="BI631" s="55">
        <v>13564306.14693</v>
      </c>
      <c r="BJ631" s="55">
        <v>2208962.0269999998</v>
      </c>
      <c r="BK631" s="55">
        <v>167867.1545</v>
      </c>
      <c r="BL631" s="111">
        <v>308371.5661459</v>
      </c>
      <c r="BM631" s="110">
        <f t="shared" si="173"/>
        <v>16249506.894575901</v>
      </c>
      <c r="BN631" s="55">
        <v>0</v>
      </c>
      <c r="BO631" s="55">
        <v>0</v>
      </c>
      <c r="BP631" s="55">
        <v>0</v>
      </c>
      <c r="BQ631" s="55">
        <v>0</v>
      </c>
      <c r="BR631" s="55"/>
      <c r="BS631" s="55"/>
      <c r="BT631" s="55"/>
      <c r="BU631" s="55">
        <v>0</v>
      </c>
      <c r="BV631" s="55">
        <v>0</v>
      </c>
      <c r="BW631" s="55">
        <v>0</v>
      </c>
      <c r="BX631" s="55">
        <v>0</v>
      </c>
      <c r="BY631" s="55">
        <v>13564306.14693</v>
      </c>
      <c r="BZ631" s="55">
        <v>2208962.0269999998</v>
      </c>
      <c r="CA631" s="55">
        <v>167867.1545</v>
      </c>
      <c r="CB631" s="64">
        <v>308371.5661459</v>
      </c>
      <c r="CD631" s="75"/>
      <c r="CE631" s="6"/>
    </row>
    <row r="632" spans="1:84" x14ac:dyDescent="0.25">
      <c r="A632" s="105">
        <f t="shared" si="174"/>
        <v>610</v>
      </c>
      <c r="B632" s="106">
        <f t="shared" si="170"/>
        <v>150</v>
      </c>
      <c r="C632" s="53" t="s">
        <v>108</v>
      </c>
      <c r="D632" s="53" t="s">
        <v>610</v>
      </c>
      <c r="E632" s="54">
        <v>1999</v>
      </c>
      <c r="F632" s="54">
        <v>1999</v>
      </c>
      <c r="G632" s="54" t="s">
        <v>64</v>
      </c>
      <c r="H632" s="54">
        <v>9</v>
      </c>
      <c r="I632" s="54">
        <v>1</v>
      </c>
      <c r="J632" s="55">
        <v>2462.15</v>
      </c>
      <c r="K632" s="55">
        <v>2301</v>
      </c>
      <c r="L632" s="55">
        <v>0</v>
      </c>
      <c r="M632" s="56">
        <v>79</v>
      </c>
      <c r="N632" s="112">
        <v>4271050</v>
      </c>
      <c r="O632" s="55"/>
      <c r="P632" s="63"/>
      <c r="Q632" s="63"/>
      <c r="R632" s="62">
        <v>2055860.49</v>
      </c>
      <c r="S632" s="62">
        <v>2215189.5099999998</v>
      </c>
      <c r="T632" s="63"/>
      <c r="U632" s="63">
        <v>1856.1712299000401</v>
      </c>
      <c r="V632" s="63">
        <v>1295.2830200640001</v>
      </c>
      <c r="W632" s="59">
        <v>2024</v>
      </c>
      <c r="X632" s="6"/>
      <c r="Z632" s="62"/>
      <c r="AA632" s="55"/>
      <c r="AB632" s="55"/>
      <c r="AC632" s="55"/>
      <c r="AD632" s="55"/>
      <c r="AE632" s="55"/>
      <c r="AF632" s="55"/>
      <c r="AG632" s="55"/>
      <c r="AH632" s="55"/>
      <c r="AI632" s="55"/>
      <c r="AJ632" s="55"/>
      <c r="AK632" s="55"/>
      <c r="AL632" s="55"/>
      <c r="AM632" s="55"/>
      <c r="AN632" s="63"/>
      <c r="AO632" s="64"/>
      <c r="AP632" s="61">
        <f>+N632-'Приложение №2'!E632</f>
        <v>0</v>
      </c>
      <c r="AQ632" s="65">
        <v>1728451.2</v>
      </c>
      <c r="AR632" s="3">
        <f t="shared" si="177"/>
        <v>327409.28999999998</v>
      </c>
      <c r="AS632" s="3">
        <f>+(K632*13.95+L632*23.65)*12*30</f>
        <v>11555621.999999998</v>
      </c>
      <c r="AT632" s="6">
        <f t="shared" si="175"/>
        <v>-9340432.4899999984</v>
      </c>
      <c r="AU632" s="6" t="e">
        <v>#REF!</v>
      </c>
      <c r="AV632" s="6" t="e">
        <v>#REF!</v>
      </c>
      <c r="AW632" s="110">
        <f t="shared" si="172"/>
        <v>4271050</v>
      </c>
      <c r="AX632" s="55"/>
      <c r="AY632" s="55"/>
      <c r="AZ632" s="55"/>
      <c r="BA632" s="55"/>
      <c r="BB632" s="55"/>
      <c r="BC632" s="55"/>
      <c r="BD632" s="55"/>
      <c r="BE632" s="55">
        <v>4012463.5488</v>
      </c>
      <c r="BF632" s="55"/>
      <c r="BG632" s="55"/>
      <c r="BH632" s="55"/>
      <c r="BI632" s="55"/>
      <c r="BJ632" s="55">
        <v>128131.5</v>
      </c>
      <c r="BK632" s="63">
        <v>42710.5</v>
      </c>
      <c r="BL632" s="64">
        <v>87744.451199999996</v>
      </c>
      <c r="BM632" s="110">
        <f t="shared" si="173"/>
        <v>4271050</v>
      </c>
      <c r="BN632" s="55"/>
      <c r="BO632" s="55"/>
      <c r="BP632" s="55"/>
      <c r="BQ632" s="55"/>
      <c r="BR632" s="55"/>
      <c r="BS632" s="55"/>
      <c r="BT632" s="55"/>
      <c r="BU632" s="55">
        <v>4012463.5488</v>
      </c>
      <c r="BV632" s="55"/>
      <c r="BW632" s="55"/>
      <c r="BX632" s="55"/>
      <c r="BY632" s="55"/>
      <c r="BZ632" s="55">
        <v>128131.5</v>
      </c>
      <c r="CA632" s="63">
        <v>42710.5</v>
      </c>
      <c r="CB632" s="64">
        <v>87744.451199999996</v>
      </c>
      <c r="CD632" s="75"/>
      <c r="CE632" s="6"/>
    </row>
    <row r="633" spans="1:84" s="69" customFormat="1" x14ac:dyDescent="0.25">
      <c r="A633" s="105">
        <f t="shared" si="174"/>
        <v>611</v>
      </c>
      <c r="B633" s="106">
        <f t="shared" si="170"/>
        <v>151</v>
      </c>
      <c r="C633" s="53" t="s">
        <v>108</v>
      </c>
      <c r="D633" s="53" t="s">
        <v>611</v>
      </c>
      <c r="E633" s="54" t="s">
        <v>429</v>
      </c>
      <c r="F633" s="54"/>
      <c r="G633" s="54" t="s">
        <v>64</v>
      </c>
      <c r="H633" s="54" t="s">
        <v>123</v>
      </c>
      <c r="I633" s="54" t="s">
        <v>229</v>
      </c>
      <c r="J633" s="55">
        <v>5386.8</v>
      </c>
      <c r="K633" s="55">
        <v>4410.8999999999996</v>
      </c>
      <c r="L633" s="55">
        <v>0</v>
      </c>
      <c r="M633" s="56">
        <v>267</v>
      </c>
      <c r="N633" s="112">
        <v>1824742.71</v>
      </c>
      <c r="O633" s="55">
        <v>0</v>
      </c>
      <c r="P633" s="63"/>
      <c r="Q633" s="63"/>
      <c r="R633" s="62">
        <v>1824742.71</v>
      </c>
      <c r="S633" s="63"/>
      <c r="T633" s="63"/>
      <c r="U633" s="63">
        <v>413.68943176112202</v>
      </c>
      <c r="V633" s="63">
        <v>1296.2830200640001</v>
      </c>
      <c r="W633" s="59">
        <v>2024</v>
      </c>
      <c r="X633" s="69">
        <v>1654219.33</v>
      </c>
      <c r="Y633" s="69">
        <f>+(K633*12.08+L633*20.47)*12</f>
        <v>639404.06400000001</v>
      </c>
      <c r="AA633" s="70" t="e">
        <v>#REF!</v>
      </c>
      <c r="AD633" s="70" t="e">
        <v>#REF!</v>
      </c>
      <c r="AP633" s="61">
        <f>+N633-'Приложение №2'!E633</f>
        <v>-4.5551301445811987E-3</v>
      </c>
      <c r="AQ633" s="65">
        <v>3043518.91</v>
      </c>
      <c r="AR633" s="3">
        <f t="shared" si="177"/>
        <v>627626.96099999989</v>
      </c>
      <c r="AS633" s="3">
        <f>+(K633*13.95+L633*23.65)*12*30</f>
        <v>22151539.799999997</v>
      </c>
      <c r="AT633" s="6">
        <f t="shared" si="175"/>
        <v>-22151539.799999997</v>
      </c>
      <c r="AU633" s="6" t="e">
        <v>#REF!</v>
      </c>
      <c r="AV633" s="6" t="e">
        <v>#REF!</v>
      </c>
      <c r="AW633" s="110">
        <f t="shared" si="172"/>
        <v>1824742.7145551301</v>
      </c>
      <c r="AX633" s="55"/>
      <c r="AY633" s="55"/>
      <c r="AZ633" s="55"/>
      <c r="BA633" s="55"/>
      <c r="BB633" s="55">
        <v>1410134.84157565</v>
      </c>
      <c r="BC633" s="55"/>
      <c r="BD633" s="55"/>
      <c r="BE633" s="55"/>
      <c r="BF633" s="55"/>
      <c r="BG633" s="55"/>
      <c r="BH633" s="55"/>
      <c r="BI633" s="55"/>
      <c r="BJ633" s="55">
        <v>383771.08</v>
      </c>
      <c r="BK633" s="63"/>
      <c r="BL633" s="64">
        <v>30836.792979479898</v>
      </c>
      <c r="BM633" s="110">
        <f t="shared" si="173"/>
        <v>1824742.7145551301</v>
      </c>
      <c r="BN633" s="55"/>
      <c r="BO633" s="55"/>
      <c r="BP633" s="55"/>
      <c r="BQ633" s="55"/>
      <c r="BR633" s="55">
        <v>1410134.84157565</v>
      </c>
      <c r="BS633" s="55"/>
      <c r="BT633" s="55"/>
      <c r="BU633" s="55"/>
      <c r="BV633" s="55"/>
      <c r="BW633" s="55"/>
      <c r="BX633" s="55"/>
      <c r="BY633" s="55"/>
      <c r="BZ633" s="55">
        <v>383771.08</v>
      </c>
      <c r="CA633" s="63"/>
      <c r="CB633" s="64">
        <v>30836.792979479898</v>
      </c>
      <c r="CD633" s="75"/>
      <c r="CE633" s="6"/>
    </row>
    <row r="634" spans="1:84" s="69" customFormat="1" x14ac:dyDescent="0.25">
      <c r="A634" s="105">
        <f t="shared" si="174"/>
        <v>612</v>
      </c>
      <c r="B634" s="106">
        <f t="shared" si="170"/>
        <v>152</v>
      </c>
      <c r="C634" s="53" t="s">
        <v>108</v>
      </c>
      <c r="D634" s="53" t="s">
        <v>612</v>
      </c>
      <c r="E634" s="54" t="s">
        <v>431</v>
      </c>
      <c r="F634" s="54"/>
      <c r="G634" s="54" t="s">
        <v>64</v>
      </c>
      <c r="H634" s="54" t="s">
        <v>123</v>
      </c>
      <c r="I634" s="54" t="s">
        <v>229</v>
      </c>
      <c r="J634" s="55">
        <v>5259.4</v>
      </c>
      <c r="K634" s="55">
        <v>4259.8</v>
      </c>
      <c r="L634" s="55">
        <v>65.2</v>
      </c>
      <c r="M634" s="56">
        <v>245</v>
      </c>
      <c r="N634" s="112">
        <v>1795945.43</v>
      </c>
      <c r="O634" s="55">
        <v>0</v>
      </c>
      <c r="P634" s="63"/>
      <c r="Q634" s="63"/>
      <c r="R634" s="62">
        <v>1795945.43</v>
      </c>
      <c r="S634" s="63"/>
      <c r="T634" s="63">
        <v>0</v>
      </c>
      <c r="U634" s="63">
        <v>421.60322691102698</v>
      </c>
      <c r="V634" s="63">
        <v>1297.2830200640001</v>
      </c>
      <c r="W634" s="59">
        <v>2024</v>
      </c>
      <c r="X634" s="69">
        <v>1762729.2</v>
      </c>
      <c r="Y634" s="69">
        <f>+(K634*12.08+L634*20.47)*12</f>
        <v>633516.33600000013</v>
      </c>
      <c r="AA634" s="70" t="e">
        <v>#REF!</v>
      </c>
      <c r="AD634" s="70" t="e">
        <v>#REF!</v>
      </c>
      <c r="AP634" s="61">
        <f>+N634-'Приложение №2'!E634</f>
        <v>4.0044044144451618E-3</v>
      </c>
      <c r="AQ634" s="65">
        <v>2987606.71</v>
      </c>
      <c r="AR634" s="3">
        <f t="shared" si="177"/>
        <v>621855.13800000004</v>
      </c>
      <c r="AS634" s="3">
        <f>+(K634*13.95+L634*23.65)*12*30</f>
        <v>21947828.400000002</v>
      </c>
      <c r="AT634" s="6">
        <f t="shared" si="175"/>
        <v>-21947828.400000002</v>
      </c>
      <c r="AU634" s="6" t="e">
        <v>#REF!</v>
      </c>
      <c r="AV634" s="6" t="e">
        <v>#REF!</v>
      </c>
      <c r="AW634" s="110">
        <f t="shared" si="172"/>
        <v>1795945.4259955955</v>
      </c>
      <c r="AX634" s="55"/>
      <c r="AY634" s="55"/>
      <c r="AZ634" s="55"/>
      <c r="BA634" s="55"/>
      <c r="BB634" s="55">
        <v>1382673.19363729</v>
      </c>
      <c r="BC634" s="55"/>
      <c r="BD634" s="55"/>
      <c r="BE634" s="55"/>
      <c r="BF634" s="55"/>
      <c r="BG634" s="55"/>
      <c r="BH634" s="55"/>
      <c r="BI634" s="55"/>
      <c r="BJ634" s="55">
        <v>383035.97</v>
      </c>
      <c r="BK634" s="63"/>
      <c r="BL634" s="64">
        <v>30236.262358305601</v>
      </c>
      <c r="BM634" s="110">
        <f t="shared" si="173"/>
        <v>1795945.4259955955</v>
      </c>
      <c r="BN634" s="55"/>
      <c r="BO634" s="55"/>
      <c r="BP634" s="55"/>
      <c r="BQ634" s="55"/>
      <c r="BR634" s="55">
        <v>1382673.19363729</v>
      </c>
      <c r="BS634" s="55"/>
      <c r="BT634" s="55"/>
      <c r="BU634" s="55"/>
      <c r="BV634" s="55"/>
      <c r="BW634" s="55"/>
      <c r="BX634" s="55"/>
      <c r="BY634" s="55"/>
      <c r="BZ634" s="55">
        <v>383035.97</v>
      </c>
      <c r="CA634" s="63"/>
      <c r="CB634" s="64">
        <v>30236.262358305601</v>
      </c>
      <c r="CD634" s="75"/>
      <c r="CE634" s="6"/>
    </row>
    <row r="635" spans="1:84" s="69" customFormat="1" x14ac:dyDescent="0.25">
      <c r="A635" s="105">
        <f t="shared" si="174"/>
        <v>613</v>
      </c>
      <c r="B635" s="106">
        <f t="shared" si="170"/>
        <v>153</v>
      </c>
      <c r="C635" s="53" t="s">
        <v>108</v>
      </c>
      <c r="D635" s="53" t="s">
        <v>613</v>
      </c>
      <c r="E635" s="54" t="s">
        <v>431</v>
      </c>
      <c r="F635" s="54"/>
      <c r="G635" s="54" t="s">
        <v>64</v>
      </c>
      <c r="H635" s="54" t="s">
        <v>123</v>
      </c>
      <c r="I635" s="54" t="s">
        <v>229</v>
      </c>
      <c r="J635" s="55">
        <v>5408.1</v>
      </c>
      <c r="K635" s="55">
        <v>4395.54</v>
      </c>
      <c r="L635" s="55">
        <v>0</v>
      </c>
      <c r="M635" s="56">
        <v>222</v>
      </c>
      <c r="N635" s="112">
        <v>1819678.22</v>
      </c>
      <c r="O635" s="55">
        <v>0</v>
      </c>
      <c r="P635" s="63"/>
      <c r="Q635" s="63"/>
      <c r="R635" s="62">
        <v>1819678.22</v>
      </c>
      <c r="S635" s="63"/>
      <c r="T635" s="63"/>
      <c r="U635" s="63">
        <v>413.98286085661402</v>
      </c>
      <c r="V635" s="63">
        <v>1298.2830200640001</v>
      </c>
      <c r="W635" s="59">
        <v>2024</v>
      </c>
      <c r="X635" s="69">
        <v>1466483.92</v>
      </c>
      <c r="Y635" s="69">
        <f>+(K635*12.08+L635*20.47)*12</f>
        <v>637177.47840000002</v>
      </c>
      <c r="AA635" s="70" t="e">
        <v>#REF!</v>
      </c>
      <c r="AD635" s="70" t="e">
        <v>#REF!</v>
      </c>
      <c r="AP635" s="61">
        <f>+N635-'Приложение №2'!E635</f>
        <v>-4.2096769902855158E-3</v>
      </c>
      <c r="AQ635" s="65">
        <v>2813394.45</v>
      </c>
      <c r="AR635" s="3">
        <f t="shared" si="177"/>
        <v>625441.38659999997</v>
      </c>
      <c r="AS635" s="3">
        <f>+(K635*13.95+L635*23.65)*12*30</f>
        <v>22074401.879999999</v>
      </c>
      <c r="AT635" s="6">
        <f t="shared" si="175"/>
        <v>-22074401.879999999</v>
      </c>
      <c r="AU635" s="6" t="e">
        <v>#REF!</v>
      </c>
      <c r="AV635" s="6" t="e">
        <v>#REF!</v>
      </c>
      <c r="AW635" s="110">
        <f t="shared" si="172"/>
        <v>1819678.224209677</v>
      </c>
      <c r="AX635" s="55"/>
      <c r="AY635" s="55"/>
      <c r="AZ635" s="55"/>
      <c r="BA635" s="55"/>
      <c r="BB635" s="55">
        <v>1405224.35365559</v>
      </c>
      <c r="BC635" s="55"/>
      <c r="BD635" s="55"/>
      <c r="BE635" s="55"/>
      <c r="BF635" s="55"/>
      <c r="BG635" s="55"/>
      <c r="BH635" s="55"/>
      <c r="BI635" s="55"/>
      <c r="BJ635" s="55">
        <v>383724.46</v>
      </c>
      <c r="BK635" s="63"/>
      <c r="BL635" s="64">
        <v>30729.410554087099</v>
      </c>
      <c r="BM635" s="110">
        <f t="shared" si="173"/>
        <v>1819678.224209677</v>
      </c>
      <c r="BN635" s="55"/>
      <c r="BO635" s="55"/>
      <c r="BP635" s="55"/>
      <c r="BQ635" s="55"/>
      <c r="BR635" s="55">
        <v>1405224.35365559</v>
      </c>
      <c r="BS635" s="55"/>
      <c r="BT635" s="55"/>
      <c r="BU635" s="55"/>
      <c r="BV635" s="55"/>
      <c r="BW635" s="55"/>
      <c r="BX635" s="55"/>
      <c r="BY635" s="55"/>
      <c r="BZ635" s="55">
        <v>383724.46</v>
      </c>
      <c r="CA635" s="63"/>
      <c r="CB635" s="64">
        <v>30729.410554087099</v>
      </c>
      <c r="CD635" s="75"/>
      <c r="CE635" s="6"/>
    </row>
    <row r="636" spans="1:84" x14ac:dyDescent="0.25">
      <c r="A636" s="105">
        <f t="shared" si="174"/>
        <v>614</v>
      </c>
      <c r="B636" s="106">
        <f t="shared" si="170"/>
        <v>154</v>
      </c>
      <c r="C636" s="53" t="s">
        <v>108</v>
      </c>
      <c r="D636" s="53" t="s">
        <v>614</v>
      </c>
      <c r="E636" s="54">
        <v>1988</v>
      </c>
      <c r="F636" s="54">
        <v>2013</v>
      </c>
      <c r="G636" s="54" t="s">
        <v>64</v>
      </c>
      <c r="H636" s="54">
        <v>5</v>
      </c>
      <c r="I636" s="54">
        <v>4</v>
      </c>
      <c r="J636" s="55">
        <v>4850.3</v>
      </c>
      <c r="K636" s="55">
        <v>4289.6000000000004</v>
      </c>
      <c r="L636" s="55">
        <v>0</v>
      </c>
      <c r="M636" s="56">
        <v>199</v>
      </c>
      <c r="N636" s="112">
        <v>3674600.04</v>
      </c>
      <c r="O636" s="55"/>
      <c r="P636" s="63"/>
      <c r="Q636" s="63"/>
      <c r="R636" s="62">
        <v>2130145.27</v>
      </c>
      <c r="S636" s="62">
        <v>1544454.77</v>
      </c>
      <c r="T636" s="113">
        <v>0</v>
      </c>
      <c r="U636" s="63">
        <v>933.16215807814206</v>
      </c>
      <c r="V636" s="63">
        <v>933.16215807814206</v>
      </c>
      <c r="W636" s="59">
        <v>2024</v>
      </c>
      <c r="X636" s="6" t="e">
        <v>#REF!</v>
      </c>
      <c r="Z636" s="62">
        <f>SUM(AA636:AO636)</f>
        <v>14475624.069999998</v>
      </c>
      <c r="AA636" s="55">
        <v>0</v>
      </c>
      <c r="AB636" s="55">
        <v>0</v>
      </c>
      <c r="AC636" s="55">
        <v>0</v>
      </c>
      <c r="AD636" s="55">
        <v>0</v>
      </c>
      <c r="AE636" s="55">
        <v>0</v>
      </c>
      <c r="AF636" s="55"/>
      <c r="AG636" s="55">
        <v>0</v>
      </c>
      <c r="AH636" s="55">
        <v>0</v>
      </c>
      <c r="AI636" s="55">
        <v>13731245.256708</v>
      </c>
      <c r="AJ636" s="55">
        <v>0</v>
      </c>
      <c r="AK636" s="55">
        <v>0</v>
      </c>
      <c r="AL636" s="55">
        <v>0</v>
      </c>
      <c r="AM636" s="55">
        <v>414638.11</v>
      </c>
      <c r="AN636" s="55">
        <v>29466.18</v>
      </c>
      <c r="AO636" s="64">
        <v>300274.523292</v>
      </c>
      <c r="AP636" s="61">
        <f>+N636-'Приложение №2'!E636</f>
        <v>-3.2919994555413723E-3</v>
      </c>
      <c r="AQ636" s="1">
        <v>2020898.42</v>
      </c>
      <c r="AR636" s="3">
        <f>+(K636*10+L636*20)*12*0.85</f>
        <v>437539.2</v>
      </c>
      <c r="AS636" s="3">
        <f>+(K636*10+L636*20)*12*30</f>
        <v>15442560</v>
      </c>
      <c r="AT636" s="6">
        <f t="shared" si="175"/>
        <v>-13898105.23</v>
      </c>
      <c r="AU636" s="6" t="e">
        <v>#REF!</v>
      </c>
      <c r="AV636" s="6" t="e">
        <v>#REF!</v>
      </c>
      <c r="AW636" s="62">
        <f t="shared" si="172"/>
        <v>4002892.3932919996</v>
      </c>
      <c r="AX636" s="53">
        <v>0</v>
      </c>
      <c r="AY636" s="53">
        <v>0</v>
      </c>
      <c r="AZ636" s="53">
        <v>0</v>
      </c>
      <c r="BA636" s="53">
        <v>0</v>
      </c>
      <c r="BB636" s="53">
        <v>0</v>
      </c>
      <c r="BC636" s="53"/>
      <c r="BD636" s="53"/>
      <c r="BE636" s="53">
        <v>0</v>
      </c>
      <c r="BF636" s="53">
        <v>3263979.76</v>
      </c>
      <c r="BG636" s="53">
        <v>0</v>
      </c>
      <c r="BH636" s="53">
        <v>0</v>
      </c>
      <c r="BI636" s="53">
        <v>0</v>
      </c>
      <c r="BJ636" s="55">
        <v>414638.11</v>
      </c>
      <c r="BK636" s="53">
        <v>24000</v>
      </c>
      <c r="BL636" s="176">
        <v>300274.523292</v>
      </c>
      <c r="BM636" s="62">
        <f t="shared" si="173"/>
        <v>4002892.3932919996</v>
      </c>
      <c r="BN636" s="53">
        <v>0</v>
      </c>
      <c r="BO636" s="53">
        <v>0</v>
      </c>
      <c r="BP636" s="53">
        <v>0</v>
      </c>
      <c r="BQ636" s="53">
        <v>0</v>
      </c>
      <c r="BR636" s="53">
        <v>0</v>
      </c>
      <c r="BS636" s="53"/>
      <c r="BT636" s="53"/>
      <c r="BU636" s="53">
        <v>0</v>
      </c>
      <c r="BV636" s="53">
        <v>3263979.76</v>
      </c>
      <c r="BW636" s="53">
        <v>0</v>
      </c>
      <c r="BX636" s="53">
        <v>0</v>
      </c>
      <c r="BY636" s="53">
        <v>0</v>
      </c>
      <c r="BZ636" s="55">
        <v>414638.11</v>
      </c>
      <c r="CA636" s="53">
        <v>24000</v>
      </c>
      <c r="CB636" s="177">
        <v>300274.523292</v>
      </c>
      <c r="CD636" s="75"/>
      <c r="CE636" s="6"/>
      <c r="CF636" s="6"/>
    </row>
    <row r="637" spans="1:84" x14ac:dyDescent="0.25">
      <c r="A637" s="105">
        <f t="shared" si="174"/>
        <v>615</v>
      </c>
      <c r="B637" s="106">
        <f t="shared" si="170"/>
        <v>155</v>
      </c>
      <c r="C637" s="53" t="s">
        <v>108</v>
      </c>
      <c r="D637" s="53" t="s">
        <v>354</v>
      </c>
      <c r="E637" s="54">
        <v>1974</v>
      </c>
      <c r="F637" s="54">
        <v>2013</v>
      </c>
      <c r="G637" s="54" t="s">
        <v>64</v>
      </c>
      <c r="H637" s="54">
        <v>4</v>
      </c>
      <c r="I637" s="54">
        <v>8</v>
      </c>
      <c r="J637" s="55">
        <v>5449.8</v>
      </c>
      <c r="K637" s="55">
        <v>4938.7</v>
      </c>
      <c r="L637" s="55">
        <v>0</v>
      </c>
      <c r="M637" s="56">
        <v>207</v>
      </c>
      <c r="N637" s="112">
        <v>27860101.260000002</v>
      </c>
      <c r="O637" s="55"/>
      <c r="P637" s="62">
        <v>8105579.7800000003</v>
      </c>
      <c r="Q637" s="63"/>
      <c r="R637" s="62">
        <v>761120.1</v>
      </c>
      <c r="S637" s="62">
        <v>1063829.8799999999</v>
      </c>
      <c r="T637" s="62">
        <v>17929571.5</v>
      </c>
      <c r="U637" s="55">
        <v>807.07077911679198</v>
      </c>
      <c r="V637" s="55">
        <v>807.07077911679198</v>
      </c>
      <c r="W637" s="59">
        <v>2024</v>
      </c>
      <c r="X637" s="6" t="e">
        <v>#REF!</v>
      </c>
      <c r="Z637" s="62">
        <f>SUM(AA637:AO637)</f>
        <v>29390081.470000003</v>
      </c>
      <c r="AA637" s="55">
        <v>11814199.4679345</v>
      </c>
      <c r="AB637" s="55">
        <v>4209884.9643870601</v>
      </c>
      <c r="AC637" s="55">
        <v>4398393.0636496199</v>
      </c>
      <c r="AD637" s="55">
        <v>2753672.1595983598</v>
      </c>
      <c r="AE637" s="55">
        <v>1684797.14385486</v>
      </c>
      <c r="AF637" s="55"/>
      <c r="AG637" s="55">
        <v>453343.1808108</v>
      </c>
      <c r="AH637" s="55">
        <v>0</v>
      </c>
      <c r="AI637" s="55">
        <v>0</v>
      </c>
      <c r="AJ637" s="55">
        <v>0</v>
      </c>
      <c r="AK637" s="55">
        <v>0</v>
      </c>
      <c r="AL637" s="55">
        <v>0</v>
      </c>
      <c r="AM637" s="55">
        <v>3228318.4232999999</v>
      </c>
      <c r="AN637" s="63">
        <v>293900.81469999999</v>
      </c>
      <c r="AO637" s="64">
        <v>553572.25176480005</v>
      </c>
      <c r="AP637" s="61">
        <f>+N637-'Приложение №2'!E637</f>
        <v>3.1758993864059448E-3</v>
      </c>
      <c r="AQ637" s="6">
        <f>2310610.73-R276</f>
        <v>-246374.70000000019</v>
      </c>
      <c r="AR637" s="3">
        <f>+(K637*10+L637*20)*12*0.85</f>
        <v>503747.39999999997</v>
      </c>
      <c r="AS637" s="3">
        <f>+(K637*10+L637*20)*12*30-S276</f>
        <v>-1623914.486824099</v>
      </c>
      <c r="AT637" s="6">
        <f t="shared" si="175"/>
        <v>2687744.3668240989</v>
      </c>
      <c r="AU637" s="6" t="e">
        <v>#REF!</v>
      </c>
      <c r="AV637" s="6" t="e">
        <v>#REF!</v>
      </c>
      <c r="AW637" s="62">
        <f t="shared" si="172"/>
        <v>3985880.4568240996</v>
      </c>
      <c r="AX637" s="55"/>
      <c r="AY637" s="55"/>
      <c r="AZ637" s="55"/>
      <c r="BA637" s="55"/>
      <c r="BB637" s="55">
        <v>2298156.84</v>
      </c>
      <c r="BC637" s="55"/>
      <c r="BD637" s="55"/>
      <c r="BE637" s="55"/>
      <c r="BF637" s="55"/>
      <c r="BG637" s="55"/>
      <c r="BH637" s="55"/>
      <c r="BI637" s="55"/>
      <c r="BJ637" s="55"/>
      <c r="BK637" s="63"/>
      <c r="BL637" s="64">
        <v>1687723.6168241</v>
      </c>
      <c r="BM637" s="62">
        <f t="shared" si="173"/>
        <v>3985880.4568240996</v>
      </c>
      <c r="BN637" s="55"/>
      <c r="BO637" s="55"/>
      <c r="BP637" s="55"/>
      <c r="BQ637" s="55"/>
      <c r="BR637" s="55">
        <v>2298156.84</v>
      </c>
      <c r="BS637" s="55"/>
      <c r="BT637" s="55"/>
      <c r="BU637" s="55"/>
      <c r="BV637" s="55"/>
      <c r="BW637" s="55"/>
      <c r="BX637" s="55"/>
      <c r="BY637" s="55"/>
      <c r="BZ637" s="55"/>
      <c r="CA637" s="63"/>
      <c r="CB637" s="64">
        <v>1687723.6168241</v>
      </c>
      <c r="CD637" s="75"/>
      <c r="CE637" s="6"/>
    </row>
    <row r="638" spans="1:84" x14ac:dyDescent="0.25">
      <c r="A638" s="105">
        <f t="shared" si="174"/>
        <v>616</v>
      </c>
      <c r="B638" s="106">
        <f t="shared" si="170"/>
        <v>156</v>
      </c>
      <c r="C638" s="53" t="s">
        <v>108</v>
      </c>
      <c r="D638" s="53" t="s">
        <v>355</v>
      </c>
      <c r="E638" s="54">
        <v>1976</v>
      </c>
      <c r="F638" s="54">
        <v>2013</v>
      </c>
      <c r="G638" s="54" t="s">
        <v>64</v>
      </c>
      <c r="H638" s="54">
        <v>5</v>
      </c>
      <c r="I638" s="54">
        <v>4</v>
      </c>
      <c r="J638" s="55">
        <v>3698.5</v>
      </c>
      <c r="K638" s="55">
        <v>3331.4</v>
      </c>
      <c r="L638" s="55">
        <v>142.19999999999999</v>
      </c>
      <c r="M638" s="56">
        <v>143</v>
      </c>
      <c r="N638" s="112">
        <v>18450460.629999999</v>
      </c>
      <c r="O638" s="55"/>
      <c r="P638" s="62">
        <v>2008108.16</v>
      </c>
      <c r="Q638" s="63"/>
      <c r="R638" s="62">
        <v>368811.6</v>
      </c>
      <c r="S638" s="62">
        <v>10736809.32</v>
      </c>
      <c r="T638" s="62">
        <v>5336731.55</v>
      </c>
      <c r="U638" s="55">
        <v>5311.6250082916004</v>
      </c>
      <c r="V638" s="55">
        <v>5311.6250082916004</v>
      </c>
      <c r="W638" s="59">
        <v>2024</v>
      </c>
      <c r="X638" s="6" t="e">
        <v>#REF!</v>
      </c>
      <c r="Z638" s="62">
        <f>SUM(AA638:AO638)</f>
        <v>31334841.419999998</v>
      </c>
      <c r="AA638" s="55">
        <v>8119979.0609737802</v>
      </c>
      <c r="AB638" s="55">
        <v>2893482.3597838199</v>
      </c>
      <c r="AC638" s="55">
        <v>0</v>
      </c>
      <c r="AD638" s="55">
        <v>0</v>
      </c>
      <c r="AE638" s="55">
        <v>1157972.4533361599</v>
      </c>
      <c r="AF638" s="55"/>
      <c r="AG638" s="55">
        <v>311585.82840083999</v>
      </c>
      <c r="AH638" s="55">
        <v>0</v>
      </c>
      <c r="AI638" s="55">
        <v>14844557.210124601</v>
      </c>
      <c r="AJ638" s="55">
        <v>0</v>
      </c>
      <c r="AK638" s="55">
        <v>0</v>
      </c>
      <c r="AL638" s="55">
        <v>0</v>
      </c>
      <c r="AM638" s="55">
        <v>3096317.3338000001</v>
      </c>
      <c r="AN638" s="63">
        <v>313348.4142</v>
      </c>
      <c r="AO638" s="64">
        <v>597598.75938079995</v>
      </c>
      <c r="AP638" s="61">
        <f>+N638-'Приложение №2'!E638</f>
        <v>1.1983476579189301E-3</v>
      </c>
      <c r="AQ638" s="6">
        <f>1714139.94-279174.44-139587.22-R277</f>
        <v>1202880.77</v>
      </c>
      <c r="AR638" s="3">
        <f>+(K638*10+L638*20)*12*0.85</f>
        <v>368811.6</v>
      </c>
      <c r="AS638" s="3">
        <f>+(K638*10+L638*20)*12*30-1573640.06-S277</f>
        <v>10366887.13204225</v>
      </c>
      <c r="AT638" s="6">
        <f t="shared" si="175"/>
        <v>369922.18795775063</v>
      </c>
      <c r="AU638" s="6" t="e">
        <v>#REF!</v>
      </c>
      <c r="AV638" s="6" t="e">
        <v>#REF!</v>
      </c>
      <c r="AW638" s="62">
        <f t="shared" si="172"/>
        <v>18450460.628801651</v>
      </c>
      <c r="AX638" s="55"/>
      <c r="AY638" s="55"/>
      <c r="AZ638" s="55">
        <v>0</v>
      </c>
      <c r="BA638" s="55">
        <v>0</v>
      </c>
      <c r="BB638" s="55"/>
      <c r="BC638" s="55"/>
      <c r="BD638" s="55"/>
      <c r="BE638" s="55">
        <v>0</v>
      </c>
      <c r="BF638" s="55">
        <v>18030840.160843901</v>
      </c>
      <c r="BG638" s="55">
        <v>0</v>
      </c>
      <c r="BH638" s="55">
        <v>0</v>
      </c>
      <c r="BI638" s="55">
        <v>0</v>
      </c>
      <c r="BJ638" s="55"/>
      <c r="BK638" s="63"/>
      <c r="BL638" s="64">
        <v>419620.46795775002</v>
      </c>
      <c r="BM638" s="62">
        <f t="shared" si="173"/>
        <v>18450460.628801651</v>
      </c>
      <c r="BN638" s="55"/>
      <c r="BO638" s="55"/>
      <c r="BP638" s="55">
        <v>0</v>
      </c>
      <c r="BQ638" s="55">
        <v>0</v>
      </c>
      <c r="BR638" s="55"/>
      <c r="BS638" s="55"/>
      <c r="BT638" s="55"/>
      <c r="BU638" s="55">
        <v>0</v>
      </c>
      <c r="BV638" s="55">
        <v>18030840.160843901</v>
      </c>
      <c r="BW638" s="55">
        <v>0</v>
      </c>
      <c r="BX638" s="55">
        <v>0</v>
      </c>
      <c r="BY638" s="55">
        <v>0</v>
      </c>
      <c r="BZ638" s="55"/>
      <c r="CA638" s="63"/>
      <c r="CB638" s="64">
        <v>419620.46795775002</v>
      </c>
      <c r="CD638" s="75"/>
      <c r="CE638" s="6"/>
    </row>
    <row r="639" spans="1:84" x14ac:dyDescent="0.25">
      <c r="A639" s="105">
        <f t="shared" si="174"/>
        <v>617</v>
      </c>
      <c r="B639" s="106">
        <f t="shared" si="170"/>
        <v>157</v>
      </c>
      <c r="C639" s="53" t="s">
        <v>108</v>
      </c>
      <c r="D639" s="53" t="s">
        <v>156</v>
      </c>
      <c r="E639" s="54">
        <v>1976</v>
      </c>
      <c r="F639" s="54">
        <v>2013</v>
      </c>
      <c r="G639" s="54" t="s">
        <v>64</v>
      </c>
      <c r="H639" s="54">
        <v>4</v>
      </c>
      <c r="I639" s="54">
        <v>6</v>
      </c>
      <c r="J639" s="55">
        <v>5761.37</v>
      </c>
      <c r="K639" s="55">
        <v>4953.17</v>
      </c>
      <c r="L639" s="55">
        <v>0</v>
      </c>
      <c r="M639" s="56">
        <v>208</v>
      </c>
      <c r="N639" s="112">
        <v>13555032.57</v>
      </c>
      <c r="O639" s="55"/>
      <c r="P639" s="63"/>
      <c r="Q639" s="63"/>
      <c r="R639" s="62">
        <v>505223.34</v>
      </c>
      <c r="S639" s="62">
        <v>4454196.49</v>
      </c>
      <c r="T639" s="57">
        <v>8595612.7400000002</v>
      </c>
      <c r="U639" s="55">
        <v>1825.96151699643</v>
      </c>
      <c r="V639" s="55">
        <v>1825.96151699643</v>
      </c>
      <c r="W639" s="59">
        <v>2024</v>
      </c>
      <c r="X639" s="6" t="e">
        <v>#REF!</v>
      </c>
      <c r="Z639" s="62">
        <f>SUM(AA639:AO639)</f>
        <v>18855188.25</v>
      </c>
      <c r="AA639" s="55">
        <v>0</v>
      </c>
      <c r="AB639" s="55">
        <v>4852018.68955818</v>
      </c>
      <c r="AC639" s="55">
        <v>5128943.0079808198</v>
      </c>
      <c r="AD639" s="55">
        <v>3910862.6451854398</v>
      </c>
      <c r="AE639" s="55">
        <v>1562309.5679603999</v>
      </c>
      <c r="AF639" s="55"/>
      <c r="AG639" s="55">
        <v>416884.20653627999</v>
      </c>
      <c r="AH639" s="55">
        <v>0</v>
      </c>
      <c r="AI639" s="55">
        <v>0</v>
      </c>
      <c r="AJ639" s="55">
        <v>0</v>
      </c>
      <c r="AK639" s="55">
        <v>0</v>
      </c>
      <c r="AL639" s="55">
        <v>0</v>
      </c>
      <c r="AM639" s="55">
        <v>2448551.2283000001</v>
      </c>
      <c r="AN639" s="63">
        <v>188551.88250000001</v>
      </c>
      <c r="AO639" s="64">
        <v>347067.02197887999</v>
      </c>
      <c r="AP639" s="61">
        <f>+N639-'Приложение №2'!E639</f>
        <v>-3.5812277346849442E-3</v>
      </c>
      <c r="AQ639" s="6">
        <f>2496690.4-R279</f>
        <v>1605636.8499999999</v>
      </c>
      <c r="AR639" s="3">
        <f>+(K639*10+L639*20)*12*0.85</f>
        <v>505223.33999999991</v>
      </c>
      <c r="AS639" s="3">
        <f>+(K639*10+L639*20)*12*30-S279</f>
        <v>10874690.032858767</v>
      </c>
      <c r="AT639" s="6">
        <f t="shared" si="175"/>
        <v>-6420493.5428587664</v>
      </c>
      <c r="AU639" s="6" t="e">
        <v>#REF!</v>
      </c>
      <c r="AV639" s="6" t="e">
        <v>#REF!</v>
      </c>
      <c r="AW639" s="62">
        <f t="shared" si="172"/>
        <v>9044297.8071412276</v>
      </c>
      <c r="AX639" s="55">
        <v>0</v>
      </c>
      <c r="AY639" s="55">
        <v>6335311.5899999999</v>
      </c>
      <c r="AZ639" s="55"/>
      <c r="BA639" s="55"/>
      <c r="BB639" s="55">
        <v>2080667.57</v>
      </c>
      <c r="BC639" s="55"/>
      <c r="BD639" s="55"/>
      <c r="BE639" s="55">
        <v>0</v>
      </c>
      <c r="BF639" s="55">
        <v>0</v>
      </c>
      <c r="BG639" s="55">
        <v>0</v>
      </c>
      <c r="BH639" s="55">
        <v>0</v>
      </c>
      <c r="BI639" s="55"/>
      <c r="BJ639" s="55"/>
      <c r="BK639" s="63"/>
      <c r="BL639" s="64">
        <v>628318.64714122796</v>
      </c>
      <c r="BM639" s="62">
        <f t="shared" si="173"/>
        <v>9044297.8071412276</v>
      </c>
      <c r="BN639" s="55">
        <v>0</v>
      </c>
      <c r="BO639" s="55">
        <v>6335311.5899999999</v>
      </c>
      <c r="BP639" s="55"/>
      <c r="BQ639" s="55"/>
      <c r="BR639" s="55">
        <v>2080667.57</v>
      </c>
      <c r="BS639" s="55"/>
      <c r="BT639" s="55"/>
      <c r="BU639" s="55">
        <v>0</v>
      </c>
      <c r="BV639" s="55">
        <v>0</v>
      </c>
      <c r="BW639" s="55">
        <v>0</v>
      </c>
      <c r="BX639" s="55">
        <v>0</v>
      </c>
      <c r="BY639" s="55"/>
      <c r="BZ639" s="55"/>
      <c r="CA639" s="63"/>
      <c r="CB639" s="64">
        <v>628318.64714122796</v>
      </c>
      <c r="CD639" s="75"/>
      <c r="CE639" s="6"/>
    </row>
    <row r="640" spans="1:84" x14ac:dyDescent="0.25">
      <c r="A640" s="105">
        <f t="shared" si="174"/>
        <v>618</v>
      </c>
      <c r="B640" s="106">
        <f t="shared" si="170"/>
        <v>158</v>
      </c>
      <c r="C640" s="107" t="s">
        <v>108</v>
      </c>
      <c r="D640" s="107" t="s">
        <v>615</v>
      </c>
      <c r="E640" s="128" t="s">
        <v>393</v>
      </c>
      <c r="F640" s="128">
        <v>2011</v>
      </c>
      <c r="G640" s="128" t="s">
        <v>64</v>
      </c>
      <c r="H640" s="128">
        <v>4</v>
      </c>
      <c r="I640" s="128">
        <v>4</v>
      </c>
      <c r="J640" s="63">
        <v>2994.2</v>
      </c>
      <c r="K640" s="63">
        <v>2607.6</v>
      </c>
      <c r="L640" s="63">
        <v>383.9</v>
      </c>
      <c r="M640" s="129">
        <v>101</v>
      </c>
      <c r="N640" s="108">
        <v>14636422.310000001</v>
      </c>
      <c r="O640" s="63"/>
      <c r="P640" s="63"/>
      <c r="Q640" s="63"/>
      <c r="R640" s="62">
        <v>361505.34</v>
      </c>
      <c r="S640" s="62">
        <v>11078205.369999999</v>
      </c>
      <c r="T640" s="62">
        <v>3196711.6</v>
      </c>
      <c r="U640" s="63">
        <v>4892.67</v>
      </c>
      <c r="V640" s="63">
        <v>4892.67</v>
      </c>
      <c r="W640" s="59">
        <v>2024</v>
      </c>
      <c r="X640" s="6"/>
      <c r="Z640" s="62"/>
      <c r="AA640" s="55"/>
      <c r="AB640" s="55"/>
      <c r="AC640" s="55"/>
      <c r="AD640" s="55"/>
      <c r="AE640" s="55"/>
      <c r="AF640" s="55"/>
      <c r="AG640" s="55"/>
      <c r="AH640" s="55"/>
      <c r="AI640" s="55"/>
      <c r="AJ640" s="55"/>
      <c r="AK640" s="55"/>
      <c r="AL640" s="55"/>
      <c r="AM640" s="55"/>
      <c r="AN640" s="63"/>
      <c r="AO640" s="64"/>
      <c r="AP640" s="61"/>
      <c r="AQ640" s="6">
        <v>2558549.2999999998</v>
      </c>
      <c r="AR640" s="3">
        <f>+(K640*10.5+L640*21)*12*0.85</f>
        <v>361505.33999999997</v>
      </c>
      <c r="AS640" s="3">
        <f>+(K640*10.5+L640*21)*12*30-58057.611-1622749.022</f>
        <v>11078205.366999999</v>
      </c>
      <c r="AT640" s="6">
        <f t="shared" si="175"/>
        <v>3.0000004917383194E-3</v>
      </c>
      <c r="AU640" s="6"/>
      <c r="AV640" s="6"/>
      <c r="AW640" s="110">
        <f t="shared" si="172"/>
        <v>14636422.305</v>
      </c>
      <c r="AX640" s="55"/>
      <c r="AY640" s="55"/>
      <c r="AZ640" s="55"/>
      <c r="BA640" s="55"/>
      <c r="BB640" s="55"/>
      <c r="BC640" s="55"/>
      <c r="BD640" s="55"/>
      <c r="BE640" s="55"/>
      <c r="BF640" s="55"/>
      <c r="BG640" s="55"/>
      <c r="BH640" s="55">
        <v>14323202.867673</v>
      </c>
      <c r="BI640" s="55"/>
      <c r="BJ640" s="55"/>
      <c r="BK640" s="63"/>
      <c r="BL640" s="64">
        <v>313219.43732700002</v>
      </c>
      <c r="BM640" s="110">
        <f t="shared" si="173"/>
        <v>14636422.305</v>
      </c>
      <c r="BN640" s="55"/>
      <c r="BO640" s="55"/>
      <c r="BP640" s="55"/>
      <c r="BQ640" s="55"/>
      <c r="BR640" s="55"/>
      <c r="BS640" s="55"/>
      <c r="BT640" s="55"/>
      <c r="BU640" s="55"/>
      <c r="BV640" s="55"/>
      <c r="BW640" s="55"/>
      <c r="BX640" s="55">
        <v>14323202.867673</v>
      </c>
      <c r="BY640" s="55"/>
      <c r="BZ640" s="55"/>
      <c r="CA640" s="63"/>
      <c r="CB640" s="64">
        <v>313219.43732700002</v>
      </c>
      <c r="CD640" s="75"/>
      <c r="CE640" s="6"/>
    </row>
    <row r="641" spans="1:84" x14ac:dyDescent="0.25">
      <c r="A641" s="105">
        <f t="shared" si="174"/>
        <v>619</v>
      </c>
      <c r="B641" s="106">
        <f t="shared" si="170"/>
        <v>159</v>
      </c>
      <c r="C641" s="107" t="s">
        <v>108</v>
      </c>
      <c r="D641" s="107" t="s">
        <v>616</v>
      </c>
      <c r="E641" s="128">
        <v>1977</v>
      </c>
      <c r="F641" s="128">
        <v>2016</v>
      </c>
      <c r="G641" s="128" t="s">
        <v>64</v>
      </c>
      <c r="H641" s="128">
        <v>4</v>
      </c>
      <c r="I641" s="128">
        <v>3</v>
      </c>
      <c r="J641" s="63">
        <v>4282.03</v>
      </c>
      <c r="K641" s="63">
        <v>3649.25</v>
      </c>
      <c r="L641" s="63">
        <v>274</v>
      </c>
      <c r="M641" s="129">
        <v>288</v>
      </c>
      <c r="N641" s="108">
        <v>21716000.93</v>
      </c>
      <c r="O641" s="63"/>
      <c r="P641" s="62">
        <v>5040074.1399999997</v>
      </c>
      <c r="Q641" s="63"/>
      <c r="R641" s="63"/>
      <c r="S641" s="62">
        <v>14184798.369999999</v>
      </c>
      <c r="T641" s="62">
        <v>2491128.42</v>
      </c>
      <c r="U641" s="63">
        <v>11469.058696030799</v>
      </c>
      <c r="V641" s="63">
        <v>11469.058696030799</v>
      </c>
      <c r="W641" s="59">
        <v>2024</v>
      </c>
      <c r="X641" s="6" t="e">
        <v>#REF!</v>
      </c>
      <c r="Z641" s="62">
        <f>SUM(AA641:AO641)</f>
        <v>23141293.459999997</v>
      </c>
      <c r="AA641" s="55">
        <v>8634085.2331297193</v>
      </c>
      <c r="AB641" s="55">
        <v>0</v>
      </c>
      <c r="AC641" s="55">
        <v>3214445.52658614</v>
      </c>
      <c r="AD641" s="55">
        <v>0</v>
      </c>
      <c r="AE641" s="55">
        <v>0</v>
      </c>
      <c r="AF641" s="55"/>
      <c r="AG641" s="55">
        <v>331313.48510400002</v>
      </c>
      <c r="AH641" s="55">
        <v>0</v>
      </c>
      <c r="AI641" s="55">
        <v>0</v>
      </c>
      <c r="AJ641" s="55">
        <v>0</v>
      </c>
      <c r="AK641" s="55">
        <v>8195344.7229868202</v>
      </c>
      <c r="AL641" s="55">
        <v>0</v>
      </c>
      <c r="AM641" s="55">
        <v>2089127.4416</v>
      </c>
      <c r="AN641" s="63">
        <v>231412.93460000001</v>
      </c>
      <c r="AO641" s="64">
        <v>445564.11599332001</v>
      </c>
      <c r="AP641" s="61">
        <f>+N641-'Приложение №2'!E641</f>
        <v>7.9698115587234497E-4</v>
      </c>
      <c r="AQ641" s="6">
        <f>1693116.47-238851.36</f>
        <v>1454265.1099999999</v>
      </c>
      <c r="AR641" s="3">
        <f>+(K641*10.5+L641*21)*12*0.85</f>
        <v>449525.47499999998</v>
      </c>
      <c r="AS641" s="3">
        <f>+(K641*10.5+L641*21)*12*30-58057.611-1622749.022</f>
        <v>14184798.367000001</v>
      </c>
      <c r="AT641" s="6">
        <f t="shared" si="175"/>
        <v>2.9999986290931702E-3</v>
      </c>
      <c r="AU641" s="6" t="e">
        <v>#REF!</v>
      </c>
      <c r="AV641" s="6" t="e">
        <v>#REF!</v>
      </c>
      <c r="AW641" s="110">
        <f t="shared" si="172"/>
        <v>41448783.589300022</v>
      </c>
      <c r="AX641" s="55">
        <v>9072553.7200000007</v>
      </c>
      <c r="AY641" s="55">
        <v>0</v>
      </c>
      <c r="AZ641" s="55">
        <v>4761923.9526076</v>
      </c>
      <c r="BA641" s="55">
        <v>0</v>
      </c>
      <c r="BB641" s="55">
        <v>0</v>
      </c>
      <c r="BC641" s="55"/>
      <c r="BD641" s="55">
        <v>0</v>
      </c>
      <c r="BE641" s="55">
        <v>0</v>
      </c>
      <c r="BF641" s="55">
        <v>0</v>
      </c>
      <c r="BG641" s="55">
        <v>0</v>
      </c>
      <c r="BH641" s="55">
        <v>26921454.597489402</v>
      </c>
      <c r="BI641" s="55">
        <v>0</v>
      </c>
      <c r="BJ641" s="55"/>
      <c r="BK641" s="63"/>
      <c r="BL641" s="64">
        <v>692851.31920301996</v>
      </c>
      <c r="BM641" s="110">
        <f t="shared" si="173"/>
        <v>44995984.52920302</v>
      </c>
      <c r="BN641" s="55">
        <v>9072553.7200000007</v>
      </c>
      <c r="BO641" s="55">
        <v>0</v>
      </c>
      <c r="BP641" s="55">
        <v>5144317</v>
      </c>
      <c r="BQ641" s="55">
        <v>0</v>
      </c>
      <c r="BR641" s="55">
        <v>0</v>
      </c>
      <c r="BS641" s="55"/>
      <c r="BT641" s="55">
        <v>0</v>
      </c>
      <c r="BU641" s="55">
        <v>0</v>
      </c>
      <c r="BV641" s="55">
        <v>0</v>
      </c>
      <c r="BW641" s="55">
        <v>0</v>
      </c>
      <c r="BX641" s="55">
        <v>30086262.489999998</v>
      </c>
      <c r="BY641" s="55">
        <v>0</v>
      </c>
      <c r="BZ641" s="55"/>
      <c r="CA641" s="63"/>
      <c r="CB641" s="64">
        <v>692851.31920301996</v>
      </c>
      <c r="CD641" s="75"/>
      <c r="CE641" s="6"/>
      <c r="CF641" s="6"/>
    </row>
    <row r="642" spans="1:84" x14ac:dyDescent="0.25">
      <c r="A642" s="105">
        <f t="shared" si="174"/>
        <v>620</v>
      </c>
      <c r="B642" s="106">
        <f t="shared" si="170"/>
        <v>160</v>
      </c>
      <c r="C642" s="53" t="s">
        <v>108</v>
      </c>
      <c r="D642" s="53" t="s">
        <v>617</v>
      </c>
      <c r="E642" s="54">
        <v>1978</v>
      </c>
      <c r="F642" s="54">
        <v>2013</v>
      </c>
      <c r="G642" s="54" t="s">
        <v>64</v>
      </c>
      <c r="H642" s="54">
        <v>4</v>
      </c>
      <c r="I642" s="54">
        <v>4</v>
      </c>
      <c r="J642" s="55">
        <v>2848.5</v>
      </c>
      <c r="K642" s="55">
        <v>2649.95</v>
      </c>
      <c r="L642" s="55">
        <v>0</v>
      </c>
      <c r="M642" s="56">
        <v>145</v>
      </c>
      <c r="N642" s="112">
        <v>2558096.0099999998</v>
      </c>
      <c r="O642" s="55"/>
      <c r="P642" s="63"/>
      <c r="Q642" s="63"/>
      <c r="R642" s="62">
        <v>1479357.33</v>
      </c>
      <c r="S642" s="62">
        <v>914499.18</v>
      </c>
      <c r="T642" s="62">
        <v>164239.5</v>
      </c>
      <c r="U642" s="63">
        <v>1040.54871397324</v>
      </c>
      <c r="V642" s="63">
        <v>1300.2830200640001</v>
      </c>
      <c r="W642" s="59">
        <v>2024</v>
      </c>
      <c r="X642" s="6" t="e">
        <v>#REF!</v>
      </c>
      <c r="Z642" s="62">
        <f>SUM(AA642:AO642)</f>
        <v>4102628.5261912607</v>
      </c>
      <c r="AA642" s="55">
        <v>0</v>
      </c>
      <c r="AB642" s="55">
        <v>2393856.5125572602</v>
      </c>
      <c r="AC642" s="55">
        <v>0</v>
      </c>
      <c r="AD642" s="55">
        <v>0</v>
      </c>
      <c r="AE642" s="55">
        <v>1207579.472694</v>
      </c>
      <c r="AF642" s="55"/>
      <c r="AG642" s="55">
        <v>243268.38316200001</v>
      </c>
      <c r="AH642" s="55">
        <v>0</v>
      </c>
      <c r="AI642" s="55">
        <v>0</v>
      </c>
      <c r="AJ642" s="55">
        <v>0</v>
      </c>
      <c r="AK642" s="55">
        <v>0</v>
      </c>
      <c r="AL642" s="55">
        <v>0</v>
      </c>
      <c r="AM642" s="55">
        <v>129490.79</v>
      </c>
      <c r="AN642" s="55">
        <v>44357.47</v>
      </c>
      <c r="AO642" s="64">
        <v>84075.897777999999</v>
      </c>
      <c r="AP642" s="61">
        <f>+N642-'Приложение №2'!E642</f>
        <v>-1.2933802790939808E-3</v>
      </c>
      <c r="AQ642" s="65">
        <v>1527775.3</v>
      </c>
      <c r="AR642" s="3">
        <f>+(K642*10.5+L642*21)*12*0.85</f>
        <v>283809.64499999996</v>
      </c>
      <c r="AS642" s="3">
        <f>+(K642*10.5+L642*21)*12*30</f>
        <v>10016810.999999998</v>
      </c>
      <c r="AT642" s="6">
        <f t="shared" si="175"/>
        <v>-9102311.8199999984</v>
      </c>
      <c r="AU642" s="6" t="e">
        <v>#REF!</v>
      </c>
      <c r="AV642" s="6" t="e">
        <v>#REF!</v>
      </c>
      <c r="AW642" s="110">
        <f t="shared" si="172"/>
        <v>2757402.0645933799</v>
      </c>
      <c r="AX642" s="55">
        <v>0</v>
      </c>
      <c r="AY642" s="55">
        <v>2429379.13</v>
      </c>
      <c r="AZ642" s="55">
        <v>0</v>
      </c>
      <c r="BA642" s="55">
        <v>0</v>
      </c>
      <c r="BB642" s="55"/>
      <c r="BC642" s="55"/>
      <c r="BD642" s="55"/>
      <c r="BE642" s="55">
        <v>0</v>
      </c>
      <c r="BF642" s="55">
        <v>0</v>
      </c>
      <c r="BG642" s="55">
        <v>0</v>
      </c>
      <c r="BH642" s="55">
        <v>0</v>
      </c>
      <c r="BI642" s="55">
        <v>0</v>
      </c>
      <c r="BJ642" s="55">
        <v>254190.70300000001</v>
      </c>
      <c r="BK642" s="55">
        <f>25419.0703</f>
        <v>25419.070299999999</v>
      </c>
      <c r="BL642" s="111">
        <v>48413.161293379999</v>
      </c>
      <c r="BM642" s="110">
        <f t="shared" si="173"/>
        <v>2757402.0645933799</v>
      </c>
      <c r="BN642" s="55">
        <v>0</v>
      </c>
      <c r="BO642" s="55">
        <v>2429379.13</v>
      </c>
      <c r="BP642" s="55">
        <v>0</v>
      </c>
      <c r="BQ642" s="55">
        <v>0</v>
      </c>
      <c r="BR642" s="55"/>
      <c r="BS642" s="55"/>
      <c r="BT642" s="55"/>
      <c r="BU642" s="55">
        <v>0</v>
      </c>
      <c r="BV642" s="55">
        <v>0</v>
      </c>
      <c r="BW642" s="55">
        <v>0</v>
      </c>
      <c r="BX642" s="55">
        <v>0</v>
      </c>
      <c r="BY642" s="55">
        <v>0</v>
      </c>
      <c r="BZ642" s="55">
        <v>254190.70300000001</v>
      </c>
      <c r="CA642" s="55">
        <f>25419.0703</f>
        <v>25419.070299999999</v>
      </c>
      <c r="CB642" s="64">
        <v>48413.161293379999</v>
      </c>
      <c r="CD642" s="75"/>
      <c r="CE642" s="6"/>
    </row>
    <row r="643" spans="1:84" x14ac:dyDescent="0.25">
      <c r="A643" s="105">
        <f t="shared" si="174"/>
        <v>621</v>
      </c>
      <c r="B643" s="106">
        <f t="shared" si="170"/>
        <v>161</v>
      </c>
      <c r="C643" s="107" t="s">
        <v>108</v>
      </c>
      <c r="D643" s="107" t="s">
        <v>158</v>
      </c>
      <c r="E643" s="128" t="s">
        <v>393</v>
      </c>
      <c r="F643" s="128"/>
      <c r="G643" s="128" t="s">
        <v>64</v>
      </c>
      <c r="H643" s="128">
        <v>4</v>
      </c>
      <c r="I643" s="128">
        <v>2</v>
      </c>
      <c r="J643" s="63">
        <v>1305.4000000000001</v>
      </c>
      <c r="K643" s="63">
        <v>1212.2</v>
      </c>
      <c r="L643" s="63">
        <v>0</v>
      </c>
      <c r="M643" s="129">
        <v>58</v>
      </c>
      <c r="N643" s="108">
        <v>5930894.5800000001</v>
      </c>
      <c r="O643" s="63"/>
      <c r="P643" s="63"/>
      <c r="Q643" s="63"/>
      <c r="R643" s="62">
        <v>129826.62</v>
      </c>
      <c r="S643" s="62">
        <v>2901309.37</v>
      </c>
      <c r="T643" s="62">
        <v>2899758.59</v>
      </c>
      <c r="U643" s="63">
        <v>4892.67</v>
      </c>
      <c r="V643" s="63">
        <v>4892.67</v>
      </c>
      <c r="W643" s="59">
        <v>2024</v>
      </c>
      <c r="X643" s="6"/>
      <c r="Z643" s="62"/>
      <c r="AA643" s="55"/>
      <c r="AB643" s="55"/>
      <c r="AC643" s="55"/>
      <c r="AD643" s="55"/>
      <c r="AE643" s="55"/>
      <c r="AF643" s="55"/>
      <c r="AG643" s="55"/>
      <c r="AH643" s="55"/>
      <c r="AI643" s="55"/>
      <c r="AJ643" s="55"/>
      <c r="AK643" s="55"/>
      <c r="AL643" s="55"/>
      <c r="AM643" s="55"/>
      <c r="AN643" s="63"/>
      <c r="AO643" s="64"/>
      <c r="AP643" s="61"/>
      <c r="AQ643" s="6">
        <v>909150.67</v>
      </c>
      <c r="AR643" s="3">
        <f>+(K643*10.5+L643*21)*12*0.85</f>
        <v>129826.62000000001</v>
      </c>
      <c r="AS643" s="3">
        <f>+(K643*10.5+L643*21)*12*30-58057.611-1622749.022</f>
        <v>2901309.3670000006</v>
      </c>
      <c r="AT643" s="6"/>
      <c r="AU643" s="6"/>
      <c r="AV643" s="6"/>
      <c r="AW643" s="110">
        <f t="shared" si="172"/>
        <v>5930894.574</v>
      </c>
      <c r="AX643" s="55"/>
      <c r="AY643" s="55"/>
      <c r="AZ643" s="55"/>
      <c r="BA643" s="55"/>
      <c r="BB643" s="55"/>
      <c r="BC643" s="55"/>
      <c r="BD643" s="55"/>
      <c r="BE643" s="55"/>
      <c r="BF643" s="55"/>
      <c r="BG643" s="55"/>
      <c r="BH643" s="55">
        <v>5803973.4301164001</v>
      </c>
      <c r="BI643" s="55"/>
      <c r="BJ643" s="55"/>
      <c r="BK643" s="63"/>
      <c r="BL643" s="64">
        <v>126921.1438836</v>
      </c>
      <c r="BM643" s="110">
        <f t="shared" si="173"/>
        <v>5930894.574</v>
      </c>
      <c r="BN643" s="55"/>
      <c r="BO643" s="55"/>
      <c r="BP643" s="55"/>
      <c r="BQ643" s="55"/>
      <c r="BR643" s="55"/>
      <c r="BS643" s="55"/>
      <c r="BT643" s="55"/>
      <c r="BU643" s="55"/>
      <c r="BV643" s="55"/>
      <c r="BW643" s="55"/>
      <c r="BX643" s="55">
        <v>5803973.4301164001</v>
      </c>
      <c r="BY643" s="55"/>
      <c r="BZ643" s="55"/>
      <c r="CA643" s="63"/>
      <c r="CB643" s="64">
        <v>126921.1438836</v>
      </c>
      <c r="CD643" s="75"/>
      <c r="CE643" s="6"/>
    </row>
    <row r="644" spans="1:84" x14ac:dyDescent="0.25">
      <c r="A644" s="105">
        <f t="shared" si="174"/>
        <v>622</v>
      </c>
      <c r="B644" s="106">
        <f t="shared" si="170"/>
        <v>162</v>
      </c>
      <c r="C644" s="53" t="s">
        <v>108</v>
      </c>
      <c r="D644" s="53" t="s">
        <v>159</v>
      </c>
      <c r="E644" s="54">
        <v>1964</v>
      </c>
      <c r="F644" s="54">
        <v>2013</v>
      </c>
      <c r="G644" s="54" t="s">
        <v>64</v>
      </c>
      <c r="H644" s="54">
        <v>4</v>
      </c>
      <c r="I644" s="54">
        <v>2</v>
      </c>
      <c r="J644" s="55">
        <v>1348</v>
      </c>
      <c r="K644" s="55">
        <v>1248.9000000000001</v>
      </c>
      <c r="L644" s="55">
        <v>0</v>
      </c>
      <c r="M644" s="56">
        <v>74</v>
      </c>
      <c r="N644" s="112">
        <v>1447716.48</v>
      </c>
      <c r="O644" s="55"/>
      <c r="P644" s="62">
        <v>644012.72</v>
      </c>
      <c r="Q644" s="63"/>
      <c r="R644" s="63"/>
      <c r="S644" s="62">
        <v>803703.76</v>
      </c>
      <c r="T644" s="63"/>
      <c r="U644" s="55">
        <v>1159.19327605836</v>
      </c>
      <c r="V644" s="55">
        <v>1159.19327605836</v>
      </c>
      <c r="W644" s="59">
        <v>2024</v>
      </c>
      <c r="X644" s="6" t="e">
        <v>#REF!</v>
      </c>
      <c r="Z644" s="62">
        <f>SUM(AA644:AO644)</f>
        <v>13604861.209999999</v>
      </c>
      <c r="AA644" s="55">
        <v>2981304.8663361599</v>
      </c>
      <c r="AB644" s="55">
        <v>1062361.4877094801</v>
      </c>
      <c r="AC644" s="55">
        <v>1109931.3752150401</v>
      </c>
      <c r="AD644" s="55">
        <v>694887.21792840003</v>
      </c>
      <c r="AE644" s="55">
        <v>425157.36756066</v>
      </c>
      <c r="AF644" s="55"/>
      <c r="AG644" s="55">
        <v>114400.82936268</v>
      </c>
      <c r="AH644" s="55">
        <v>0</v>
      </c>
      <c r="AI644" s="55">
        <v>5450278.9118777998</v>
      </c>
      <c r="AJ644" s="55">
        <v>0</v>
      </c>
      <c r="AK644" s="55">
        <v>0</v>
      </c>
      <c r="AL644" s="55">
        <v>0</v>
      </c>
      <c r="AM644" s="55">
        <v>1371610.4151999999</v>
      </c>
      <c r="AN644" s="63">
        <v>136048.6121</v>
      </c>
      <c r="AO644" s="64">
        <v>258880.12670977999</v>
      </c>
      <c r="AP644" s="61">
        <f>+N644-'Приложение №2'!E643</f>
        <v>-4483178.0940000005</v>
      </c>
      <c r="AQ644" s="1">
        <v>546149.31000000006</v>
      </c>
      <c r="AR644" s="3">
        <f>+(K644*10+L644*20)*12*0.85</f>
        <v>127387.8</v>
      </c>
      <c r="AS644" s="3">
        <f>+(K644*10+L644*20)*12*30</f>
        <v>4496040</v>
      </c>
      <c r="AT644" s="6">
        <f t="shared" ref="AT644:AT675" si="178">+S644-AS644</f>
        <v>-3692336.24</v>
      </c>
      <c r="AU644" s="6" t="e">
        <v>#REF!</v>
      </c>
      <c r="AV644" s="6" t="e">
        <v>#REF!</v>
      </c>
      <c r="AW644" s="62">
        <f t="shared" si="172"/>
        <v>1447716.48246928</v>
      </c>
      <c r="AX644" s="55"/>
      <c r="AY644" s="55">
        <v>773824.99</v>
      </c>
      <c r="AZ644" s="55"/>
      <c r="BA644" s="55">
        <v>492005.51</v>
      </c>
      <c r="BB644" s="55"/>
      <c r="BC644" s="55"/>
      <c r="BD644" s="55"/>
      <c r="BE644" s="55">
        <v>0</v>
      </c>
      <c r="BF644" s="55"/>
      <c r="BG644" s="55">
        <v>0</v>
      </c>
      <c r="BH644" s="55">
        <v>0</v>
      </c>
      <c r="BI644" s="55">
        <v>0</v>
      </c>
      <c r="BJ644" s="55"/>
      <c r="BK644" s="63"/>
      <c r="BL644" s="111">
        <v>181885.98246927999</v>
      </c>
      <c r="BM644" s="62">
        <f t="shared" si="173"/>
        <v>1447716.48246928</v>
      </c>
      <c r="BN644" s="55"/>
      <c r="BO644" s="55">
        <v>773824.99</v>
      </c>
      <c r="BP644" s="55"/>
      <c r="BQ644" s="55">
        <v>492005.51</v>
      </c>
      <c r="BR644" s="55"/>
      <c r="BS644" s="55"/>
      <c r="BT644" s="55"/>
      <c r="BU644" s="55">
        <v>0</v>
      </c>
      <c r="BV644" s="55"/>
      <c r="BW644" s="55">
        <v>0</v>
      </c>
      <c r="BX644" s="55">
        <v>0</v>
      </c>
      <c r="BY644" s="55">
        <v>0</v>
      </c>
      <c r="BZ644" s="55"/>
      <c r="CA644" s="63"/>
      <c r="CB644" s="64">
        <v>181885.98246927999</v>
      </c>
      <c r="CD644" s="75"/>
      <c r="CE644" s="6"/>
    </row>
    <row r="645" spans="1:84" x14ac:dyDescent="0.25">
      <c r="A645" s="105">
        <f t="shared" si="174"/>
        <v>623</v>
      </c>
      <c r="B645" s="106">
        <f t="shared" si="170"/>
        <v>163</v>
      </c>
      <c r="C645" s="107" t="s">
        <v>108</v>
      </c>
      <c r="D645" s="107" t="s">
        <v>357</v>
      </c>
      <c r="E645" s="128">
        <v>1988</v>
      </c>
      <c r="F645" s="128">
        <v>2013</v>
      </c>
      <c r="G645" s="128" t="s">
        <v>64</v>
      </c>
      <c r="H645" s="128">
        <v>3</v>
      </c>
      <c r="I645" s="128">
        <v>3</v>
      </c>
      <c r="J645" s="63">
        <v>1440</v>
      </c>
      <c r="K645" s="63">
        <v>1362.6</v>
      </c>
      <c r="L645" s="63">
        <v>0</v>
      </c>
      <c r="M645" s="129">
        <v>54</v>
      </c>
      <c r="N645" s="108">
        <v>10836257.34</v>
      </c>
      <c r="O645" s="63"/>
      <c r="P645" s="63"/>
      <c r="Q645" s="63"/>
      <c r="R645" s="62">
        <v>883087.29</v>
      </c>
      <c r="S645" s="62">
        <v>5150628</v>
      </c>
      <c r="T645" s="62">
        <v>4802542.05</v>
      </c>
      <c r="U645" s="63">
        <v>9625.1632184527898</v>
      </c>
      <c r="V645" s="63">
        <v>1301.2830200640001</v>
      </c>
      <c r="W645" s="59">
        <v>2024</v>
      </c>
      <c r="X645" s="6" t="e">
        <v>#REF!</v>
      </c>
      <c r="Z645" s="57">
        <f>SUM(AA645:AO645)</f>
        <v>25083426.917270396</v>
      </c>
      <c r="AA645" s="55">
        <v>4525107.2259669397</v>
      </c>
      <c r="AB645" s="55">
        <v>2796445.91115807</v>
      </c>
      <c r="AC645" s="55">
        <v>1312542.35195631</v>
      </c>
      <c r="AD645" s="55">
        <v>1144056.1189434701</v>
      </c>
      <c r="AE645" s="55">
        <v>736445.82143999997</v>
      </c>
      <c r="AF645" s="55"/>
      <c r="AG645" s="55">
        <v>433409.41392000002</v>
      </c>
      <c r="AH645" s="55">
        <v>0</v>
      </c>
      <c r="AI645" s="55">
        <v>13331310.272431601</v>
      </c>
      <c r="AJ645" s="55">
        <v>0</v>
      </c>
      <c r="AK645" s="55">
        <v>0</v>
      </c>
      <c r="AL645" s="55">
        <v>0</v>
      </c>
      <c r="AM645" s="55">
        <v>225241.67</v>
      </c>
      <c r="AN645" s="55">
        <v>47928.639999999999</v>
      </c>
      <c r="AO645" s="60">
        <v>530939.491454</v>
      </c>
      <c r="AP645" s="61">
        <f>+N645-'Приложение №2'!E645</f>
        <v>-2.1637696772813797E-3</v>
      </c>
      <c r="AQ645" s="65">
        <v>737152.83</v>
      </c>
      <c r="AR645" s="3">
        <f>+(K645*10.5+L645*21)*12*0.85</f>
        <v>145934.45999999996</v>
      </c>
      <c r="AS645" s="3">
        <f>+(K645*10.5+L645*21)*12*30</f>
        <v>5150627.9999999991</v>
      </c>
      <c r="AT645" s="6">
        <f t="shared" si="178"/>
        <v>0</v>
      </c>
      <c r="AU645" s="6" t="e">
        <v>#REF!</v>
      </c>
      <c r="AV645" s="6" t="e">
        <v>#REF!</v>
      </c>
      <c r="AW645" s="165">
        <f t="shared" si="172"/>
        <v>13115247.401463769</v>
      </c>
      <c r="AX645" s="55">
        <v>4525107.2259669397</v>
      </c>
      <c r="AY645" s="55">
        <v>2796445.91115807</v>
      </c>
      <c r="AZ645" s="55">
        <v>1312542.35195631</v>
      </c>
      <c r="BA645" s="55">
        <v>1144056.1189434701</v>
      </c>
      <c r="BB645" s="55"/>
      <c r="BC645" s="55"/>
      <c r="BD645" s="55">
        <v>433409.41392000002</v>
      </c>
      <c r="BE645" s="55">
        <v>0</v>
      </c>
      <c r="BF645" s="55"/>
      <c r="BG645" s="55">
        <v>0</v>
      </c>
      <c r="BH645" s="55">
        <v>0</v>
      </c>
      <c r="BI645" s="55">
        <v>0</v>
      </c>
      <c r="BJ645" s="55">
        <v>2193617.8228000002</v>
      </c>
      <c r="BK645" s="55">
        <v>242740.96650000001</v>
      </c>
      <c r="BL645" s="76">
        <v>467327.59021897998</v>
      </c>
      <c r="BM645" s="110">
        <f t="shared" si="173"/>
        <v>13115247.401463769</v>
      </c>
      <c r="BN645" s="55">
        <v>4525107.2259669397</v>
      </c>
      <c r="BO645" s="55">
        <v>2796445.91115807</v>
      </c>
      <c r="BP645" s="55">
        <v>1312542.35195631</v>
      </c>
      <c r="BQ645" s="55">
        <v>1144056.1189434701</v>
      </c>
      <c r="BR645" s="55"/>
      <c r="BS645" s="55"/>
      <c r="BT645" s="55">
        <v>433409.41392000002</v>
      </c>
      <c r="BU645" s="55">
        <v>0</v>
      </c>
      <c r="BW645" s="55">
        <v>0</v>
      </c>
      <c r="BX645" s="55">
        <v>0</v>
      </c>
      <c r="BY645" s="55">
        <v>0</v>
      </c>
      <c r="BZ645" s="55">
        <v>2193617.8228000002</v>
      </c>
      <c r="CA645" s="55">
        <v>242740.96650000001</v>
      </c>
      <c r="CB645" s="64">
        <v>467327.59021897998</v>
      </c>
      <c r="CD645" s="75"/>
      <c r="CE645" s="6"/>
      <c r="CF645" s="6"/>
    </row>
    <row r="646" spans="1:84" x14ac:dyDescent="0.25">
      <c r="A646" s="105">
        <f t="shared" si="174"/>
        <v>624</v>
      </c>
      <c r="B646" s="106">
        <f t="shared" si="170"/>
        <v>164</v>
      </c>
      <c r="C646" s="107" t="s">
        <v>108</v>
      </c>
      <c r="D646" s="107" t="s">
        <v>618</v>
      </c>
      <c r="E646" s="128">
        <v>1989</v>
      </c>
      <c r="F646" s="128">
        <v>2013</v>
      </c>
      <c r="G646" s="128" t="s">
        <v>64</v>
      </c>
      <c r="H646" s="128">
        <v>3</v>
      </c>
      <c r="I646" s="128">
        <v>3</v>
      </c>
      <c r="J646" s="63">
        <v>1505.9</v>
      </c>
      <c r="K646" s="63">
        <v>1326.7</v>
      </c>
      <c r="L646" s="63">
        <v>0</v>
      </c>
      <c r="M646" s="129">
        <v>75</v>
      </c>
      <c r="N646" s="108">
        <v>9689035.8900000006</v>
      </c>
      <c r="O646" s="63"/>
      <c r="P646" s="62">
        <v>1272584.83</v>
      </c>
      <c r="Q646" s="63"/>
      <c r="R646" s="62">
        <v>939228.03</v>
      </c>
      <c r="S646" s="62">
        <v>5014926</v>
      </c>
      <c r="T646" s="62">
        <v>2462297.0299999998</v>
      </c>
      <c r="U646" s="63">
        <v>7303.10988934951</v>
      </c>
      <c r="V646" s="63">
        <v>1302.2830200640001</v>
      </c>
      <c r="W646" s="59">
        <v>2024</v>
      </c>
      <c r="X646" s="6" t="e">
        <v>#REF!</v>
      </c>
      <c r="Z646" s="62">
        <f>SUM(AA646:AO646)</f>
        <v>10886557.179999998</v>
      </c>
      <c r="AA646" s="55">
        <v>0</v>
      </c>
      <c r="AB646" s="55">
        <v>0</v>
      </c>
      <c r="AC646" s="55">
        <v>0</v>
      </c>
      <c r="AD646" s="55">
        <v>0</v>
      </c>
      <c r="AE646" s="55">
        <v>0</v>
      </c>
      <c r="AF646" s="55"/>
      <c r="AG646" s="55">
        <v>0</v>
      </c>
      <c r="AH646" s="55">
        <v>0</v>
      </c>
      <c r="AI646" s="55">
        <v>0</v>
      </c>
      <c r="AJ646" s="55">
        <v>0</v>
      </c>
      <c r="AK646" s="55">
        <v>0</v>
      </c>
      <c r="AL646" s="55">
        <v>9481690.5221497193</v>
      </c>
      <c r="AM646" s="55">
        <v>1088655.7180000001</v>
      </c>
      <c r="AN646" s="63">
        <v>108865.57180000001</v>
      </c>
      <c r="AO646" s="64">
        <v>207345.36805028</v>
      </c>
      <c r="AP646" s="61">
        <f>+N646-'Приложение №2'!E646</f>
        <v>-1.9999779760837555E-4</v>
      </c>
      <c r="AQ646" s="65">
        <v>797138.46</v>
      </c>
      <c r="AR646" s="3">
        <f>+(K646*10.5+L646*21)*12*0.85</f>
        <v>142089.57</v>
      </c>
      <c r="AS646" s="3">
        <f>+(K646*10.5+L646*21)*12*30</f>
        <v>5014926</v>
      </c>
      <c r="AT646" s="6">
        <f t="shared" si="178"/>
        <v>0</v>
      </c>
      <c r="AU646" s="6" t="e">
        <v>#REF!</v>
      </c>
      <c r="AV646" s="6" t="e">
        <v>#REF!</v>
      </c>
      <c r="AW646" s="110">
        <f t="shared" si="172"/>
        <v>9689035.8901999984</v>
      </c>
      <c r="AX646" s="55">
        <v>0</v>
      </c>
      <c r="AY646" s="55">
        <v>0</v>
      </c>
      <c r="AZ646" s="55">
        <v>0</v>
      </c>
      <c r="BA646" s="55">
        <v>0</v>
      </c>
      <c r="BB646" s="55">
        <v>0</v>
      </c>
      <c r="BC646" s="55"/>
      <c r="BD646" s="55"/>
      <c r="BE646" s="55">
        <v>0</v>
      </c>
      <c r="BF646" s="55">
        <v>0</v>
      </c>
      <c r="BG646" s="55">
        <v>0</v>
      </c>
      <c r="BH646" s="55">
        <v>0</v>
      </c>
      <c r="BI646" s="55">
        <v>9481690.5221497193</v>
      </c>
      <c r="BJ646" s="55"/>
      <c r="BK646" s="63"/>
      <c r="BL646" s="64">
        <v>207345.36805028</v>
      </c>
      <c r="BM646" s="110">
        <f t="shared" si="173"/>
        <v>9689035.8901999984</v>
      </c>
      <c r="BN646" s="55">
        <v>0</v>
      </c>
      <c r="BO646" s="55">
        <v>0</v>
      </c>
      <c r="BP646" s="55">
        <v>0</v>
      </c>
      <c r="BQ646" s="55">
        <v>0</v>
      </c>
      <c r="BR646" s="55">
        <v>0</v>
      </c>
      <c r="BS646" s="55"/>
      <c r="BT646" s="55"/>
      <c r="BU646" s="55">
        <v>0</v>
      </c>
      <c r="BV646" s="55">
        <v>0</v>
      </c>
      <c r="BW646" s="55">
        <v>0</v>
      </c>
      <c r="BX646" s="55">
        <v>0</v>
      </c>
      <c r="BY646" s="55">
        <v>9481690.5221497193</v>
      </c>
      <c r="BZ646" s="55"/>
      <c r="CA646" s="63"/>
      <c r="CB646" s="64">
        <v>207345.36805028</v>
      </c>
      <c r="CD646" s="75"/>
      <c r="CE646" s="6"/>
    </row>
    <row r="647" spans="1:84" x14ac:dyDescent="0.25">
      <c r="A647" s="105">
        <f t="shared" si="174"/>
        <v>625</v>
      </c>
      <c r="B647" s="106">
        <f t="shared" si="170"/>
        <v>165</v>
      </c>
      <c r="C647" s="107" t="s">
        <v>108</v>
      </c>
      <c r="D647" s="107" t="s">
        <v>619</v>
      </c>
      <c r="E647" s="128">
        <v>1979</v>
      </c>
      <c r="F647" s="128">
        <v>2008</v>
      </c>
      <c r="G647" s="128" t="s">
        <v>64</v>
      </c>
      <c r="H647" s="128">
        <v>4</v>
      </c>
      <c r="I647" s="128">
        <v>1</v>
      </c>
      <c r="J647" s="63">
        <v>4953.1000000000004</v>
      </c>
      <c r="K647" s="63">
        <v>4344.8</v>
      </c>
      <c r="L647" s="63">
        <v>0</v>
      </c>
      <c r="M647" s="129">
        <v>210</v>
      </c>
      <c r="N647" s="108">
        <v>25809972.039999999</v>
      </c>
      <c r="O647" s="63"/>
      <c r="P647" s="62">
        <v>2747451.53</v>
      </c>
      <c r="Q647" s="63"/>
      <c r="R647" s="62">
        <v>2754406.84</v>
      </c>
      <c r="S647" s="62">
        <v>16423344</v>
      </c>
      <c r="T647" s="62">
        <v>3884769.67</v>
      </c>
      <c r="U647" s="63">
        <v>5940.42810628797</v>
      </c>
      <c r="V647" s="63">
        <v>1303.2830200640001</v>
      </c>
      <c r="W647" s="59">
        <v>2024</v>
      </c>
      <c r="X647" s="6" t="e">
        <v>#REF!</v>
      </c>
      <c r="Z647" s="62">
        <f>SUM(AA647:AO647)</f>
        <v>79806524.309999987</v>
      </c>
      <c r="AA647" s="55">
        <v>7307972.9825192997</v>
      </c>
      <c r="AB647" s="55">
        <v>4226400.5602551596</v>
      </c>
      <c r="AC647" s="55">
        <v>4467618.3252825597</v>
      </c>
      <c r="AD647" s="55">
        <v>3406596.95492088</v>
      </c>
      <c r="AE647" s="55">
        <v>1360865.74605282</v>
      </c>
      <c r="AF647" s="55"/>
      <c r="AG647" s="55">
        <v>363131.25296279998</v>
      </c>
      <c r="AH647" s="55">
        <v>0</v>
      </c>
      <c r="AI647" s="55">
        <v>13009304.578170599</v>
      </c>
      <c r="AJ647" s="55">
        <v>0</v>
      </c>
      <c r="AK647" s="55">
        <v>25257638.634625301</v>
      </c>
      <c r="AL647" s="55">
        <v>9933505.3301778007</v>
      </c>
      <c r="AM647" s="55">
        <v>8159251.6634999998</v>
      </c>
      <c r="AN647" s="63">
        <v>798065.24309999996</v>
      </c>
      <c r="AO647" s="64">
        <v>1516173.0384327599</v>
      </c>
      <c r="AP647" s="61">
        <f>+N647-'Приложение №2'!E647</f>
        <v>3.8000196218490601E-3</v>
      </c>
      <c r="AQ647" s="1">
        <f>2464536.95-175458.19</f>
        <v>2289078.7600000002</v>
      </c>
      <c r="AR647" s="3">
        <f>+(K647*10.5+L647*21)*12*0.85</f>
        <v>465328.08</v>
      </c>
      <c r="AS647" s="3">
        <f>+(K647*10.5+L647*21)*12*30</f>
        <v>16423344.000000002</v>
      </c>
      <c r="AT647" s="6">
        <f t="shared" si="178"/>
        <v>0</v>
      </c>
      <c r="AU647" s="6" t="e">
        <v>#REF!</v>
      </c>
      <c r="AV647" s="6" t="e">
        <v>#REF!</v>
      </c>
      <c r="AW647" s="110">
        <f t="shared" si="172"/>
        <v>25809972.036199979</v>
      </c>
      <c r="AX647" s="55"/>
      <c r="AY647" s="55"/>
      <c r="AZ647" s="55"/>
      <c r="BA647" s="55"/>
      <c r="BB647" s="55"/>
      <c r="BC647" s="55"/>
      <c r="BD647" s="55"/>
      <c r="BE647" s="55"/>
      <c r="BF647" s="55"/>
      <c r="BG647" s="55">
        <v>0</v>
      </c>
      <c r="BH647" s="55">
        <v>25257638.634625301</v>
      </c>
      <c r="BI647" s="55"/>
      <c r="BJ647" s="55"/>
      <c r="BK647" s="63"/>
      <c r="BL647" s="64">
        <v>552333.40157468</v>
      </c>
      <c r="BM647" s="110">
        <f t="shared" si="173"/>
        <v>25809972.036199979</v>
      </c>
      <c r="BN647" s="55"/>
      <c r="BO647" s="55"/>
      <c r="BP647" s="55"/>
      <c r="BQ647" s="55"/>
      <c r="BR647" s="55"/>
      <c r="BS647" s="55"/>
      <c r="BT647" s="55"/>
      <c r="BU647" s="55"/>
      <c r="BV647" s="55"/>
      <c r="BW647" s="55">
        <v>0</v>
      </c>
      <c r="BX647" s="55">
        <v>25257638.634625301</v>
      </c>
      <c r="BY647" s="55"/>
      <c r="BZ647" s="55"/>
      <c r="CA647" s="63"/>
      <c r="CB647" s="64">
        <v>552333.40157468</v>
      </c>
      <c r="CD647" s="75"/>
      <c r="CE647" s="6"/>
    </row>
    <row r="648" spans="1:84" s="69" customFormat="1" x14ac:dyDescent="0.25">
      <c r="A648" s="105">
        <f t="shared" si="174"/>
        <v>626</v>
      </c>
      <c r="B648" s="106">
        <f t="shared" si="170"/>
        <v>166</v>
      </c>
      <c r="C648" s="107" t="s">
        <v>620</v>
      </c>
      <c r="D648" s="107" t="s">
        <v>621</v>
      </c>
      <c r="E648" s="128" t="s">
        <v>122</v>
      </c>
      <c r="F648" s="128"/>
      <c r="G648" s="128" t="s">
        <v>64</v>
      </c>
      <c r="H648" s="128" t="s">
        <v>123</v>
      </c>
      <c r="I648" s="128" t="s">
        <v>145</v>
      </c>
      <c r="J648" s="63">
        <v>5877.12</v>
      </c>
      <c r="K648" s="63">
        <v>5045.7</v>
      </c>
      <c r="L648" s="63">
        <v>0</v>
      </c>
      <c r="M648" s="129">
        <v>170</v>
      </c>
      <c r="N648" s="108">
        <v>10774080</v>
      </c>
      <c r="O648" s="63">
        <v>0</v>
      </c>
      <c r="P648" s="62">
        <v>7237936.3700000001</v>
      </c>
      <c r="Q648" s="63"/>
      <c r="R648" s="62">
        <v>3536143.63</v>
      </c>
      <c r="S648" s="178"/>
      <c r="T648" s="63">
        <v>0</v>
      </c>
      <c r="U648" s="63">
        <v>2135.29936381473</v>
      </c>
      <c r="V648" s="63">
        <v>1304.2830200640001</v>
      </c>
      <c r="W648" s="59">
        <v>2024</v>
      </c>
      <c r="Y648" s="69">
        <f>+(K648*12.08+L648*20.47)*12</f>
        <v>731424.67200000002</v>
      </c>
      <c r="AA648" s="70" t="e">
        <v>#REF!</v>
      </c>
      <c r="AD648" s="70" t="e">
        <v>#REF!</v>
      </c>
      <c r="AP648" s="61">
        <f>+N648-'Приложение №2'!E648</f>
        <v>-2.9802322387695313E-8</v>
      </c>
      <c r="AR648" s="3">
        <f>+(K648*13.95+L648*23.65)*12*0.85</f>
        <v>717952.65299999993</v>
      </c>
      <c r="AS648" s="3">
        <f>+(K648*13.95+L648*23.65)*12*30</f>
        <v>25339505.399999999</v>
      </c>
      <c r="AT648" s="6">
        <f t="shared" si="178"/>
        <v>-25339505.399999999</v>
      </c>
      <c r="AU648" s="6" t="e">
        <v>#REF!</v>
      </c>
      <c r="AV648" s="6" t="e">
        <v>#REF!</v>
      </c>
      <c r="AW648" s="110">
        <f t="shared" si="172"/>
        <v>10774080.00000003</v>
      </c>
      <c r="AX648" s="55"/>
      <c r="AY648" s="55"/>
      <c r="AZ648" s="55"/>
      <c r="BA648" s="55"/>
      <c r="BB648" s="55"/>
      <c r="BC648" s="55"/>
      <c r="BD648" s="55"/>
      <c r="BE648" s="55">
        <v>10384981.714635899</v>
      </c>
      <c r="BF648" s="55"/>
      <c r="BG648" s="55"/>
      <c r="BH648" s="55"/>
      <c r="BI648" s="55"/>
      <c r="BJ648" s="55">
        <v>137999.768408064</v>
      </c>
      <c r="BK648" s="63">
        <v>24000</v>
      </c>
      <c r="BL648" s="64">
        <v>227098.516956067</v>
      </c>
      <c r="BM648" s="110">
        <f t="shared" si="173"/>
        <v>10774080.00000003</v>
      </c>
      <c r="BN648" s="55"/>
      <c r="BO648" s="55"/>
      <c r="BP648" s="55"/>
      <c r="BQ648" s="55"/>
      <c r="BR648" s="55"/>
      <c r="BS648" s="55"/>
      <c r="BT648" s="55"/>
      <c r="BU648" s="55">
        <v>10384981.714635899</v>
      </c>
      <c r="BV648" s="55"/>
      <c r="BW648" s="55"/>
      <c r="BX648" s="55"/>
      <c r="BY648" s="55"/>
      <c r="BZ648" s="55">
        <v>137999.768408064</v>
      </c>
      <c r="CA648" s="63">
        <v>24000</v>
      </c>
      <c r="CB648" s="64">
        <v>227098.516956067</v>
      </c>
      <c r="CD648" s="75"/>
      <c r="CE648" s="6"/>
    </row>
    <row r="649" spans="1:84" x14ac:dyDescent="0.25">
      <c r="A649" s="105">
        <f t="shared" si="174"/>
        <v>627</v>
      </c>
      <c r="B649" s="106">
        <f t="shared" si="170"/>
        <v>167</v>
      </c>
      <c r="C649" s="107" t="s">
        <v>108</v>
      </c>
      <c r="D649" s="107" t="s">
        <v>163</v>
      </c>
      <c r="E649" s="128">
        <v>1961</v>
      </c>
      <c r="F649" s="128">
        <v>2013</v>
      </c>
      <c r="G649" s="128" t="s">
        <v>64</v>
      </c>
      <c r="H649" s="128">
        <v>4</v>
      </c>
      <c r="I649" s="128">
        <v>3</v>
      </c>
      <c r="J649" s="63">
        <v>3049.5</v>
      </c>
      <c r="K649" s="63">
        <v>2277.6</v>
      </c>
      <c r="L649" s="63">
        <v>771.9</v>
      </c>
      <c r="M649" s="129">
        <v>94</v>
      </c>
      <c r="N649" s="108">
        <v>2884040.23</v>
      </c>
      <c r="O649" s="63"/>
      <c r="P649" s="63"/>
      <c r="Q649" s="63"/>
      <c r="R649" s="62">
        <v>451230.07</v>
      </c>
      <c r="S649" s="62">
        <v>2432810.16</v>
      </c>
      <c r="T649" s="63">
        <v>0</v>
      </c>
      <c r="U649" s="63">
        <v>945.74199999999996</v>
      </c>
      <c r="V649" s="63">
        <v>945.74199999999996</v>
      </c>
      <c r="W649" s="59">
        <v>2024</v>
      </c>
      <c r="X649" s="6" t="e">
        <v>#REF!</v>
      </c>
      <c r="Z649" s="62">
        <f>SUM(AA649:AO649)</f>
        <v>13067933.899999999</v>
      </c>
      <c r="AA649" s="55">
        <v>5253036.7368624602</v>
      </c>
      <c r="AB649" s="55">
        <v>1871872.94908698</v>
      </c>
      <c r="AC649" s="55">
        <v>1955690.72273694</v>
      </c>
      <c r="AD649" s="55">
        <v>1224386.0518469999</v>
      </c>
      <c r="AE649" s="55">
        <v>749124.08010090003</v>
      </c>
      <c r="AF649" s="55"/>
      <c r="AG649" s="55">
        <v>201573.40567308001</v>
      </c>
      <c r="AH649" s="55">
        <v>0</v>
      </c>
      <c r="AI649" s="55">
        <v>0</v>
      </c>
      <c r="AJ649" s="55">
        <v>0</v>
      </c>
      <c r="AK649" s="55">
        <v>0</v>
      </c>
      <c r="AL649" s="55">
        <v>0</v>
      </c>
      <c r="AM649" s="55">
        <v>1435431.6033999999</v>
      </c>
      <c r="AN649" s="63">
        <v>130679.33900000001</v>
      </c>
      <c r="AO649" s="64">
        <v>246139.01129264</v>
      </c>
      <c r="AP649" s="61">
        <f>+N649-'Приложение №2'!E649</f>
        <v>9.9999969825148582E-4</v>
      </c>
      <c r="AQ649" s="6">
        <f>1647685.87-R419</f>
        <v>648177.89909940015</v>
      </c>
      <c r="AR649" s="3">
        <f>+(K649*10+L649*20)*12*0.85</f>
        <v>389782.8</v>
      </c>
      <c r="AS649" s="3">
        <f>+(K649*10+L649*20)*12*30-S419</f>
        <v>13757040</v>
      </c>
      <c r="AT649" s="6">
        <f t="shared" si="178"/>
        <v>-11324229.84</v>
      </c>
      <c r="AU649" s="6" t="e">
        <v>#REF!</v>
      </c>
      <c r="AV649" s="6" t="e">
        <v>#REF!</v>
      </c>
      <c r="AW649" s="62">
        <f t="shared" si="172"/>
        <v>2884040.2290000003</v>
      </c>
      <c r="AX649" s="55"/>
      <c r="AY649" s="55"/>
      <c r="AZ649" s="55"/>
      <c r="BA649" s="55">
        <v>2822321.7680994002</v>
      </c>
      <c r="BB649" s="55"/>
      <c r="BC649" s="55"/>
      <c r="BD649" s="55"/>
      <c r="BE649" s="55">
        <v>0</v>
      </c>
      <c r="BF649" s="55">
        <v>0</v>
      </c>
      <c r="BG649" s="55">
        <v>0</v>
      </c>
      <c r="BH649" s="55">
        <v>0</v>
      </c>
      <c r="BI649" s="55">
        <v>0</v>
      </c>
      <c r="BJ649" s="55"/>
      <c r="BK649" s="63"/>
      <c r="BL649" s="64">
        <v>61718.460900600003</v>
      </c>
      <c r="BM649" s="62">
        <f t="shared" si="173"/>
        <v>2884040.2290000003</v>
      </c>
      <c r="BN649" s="55"/>
      <c r="BO649" s="55"/>
      <c r="BP649" s="55"/>
      <c r="BQ649" s="55">
        <v>2822321.7680994002</v>
      </c>
      <c r="BR649" s="55"/>
      <c r="BS649" s="55"/>
      <c r="BT649" s="55"/>
      <c r="BU649" s="55">
        <v>0</v>
      </c>
      <c r="BV649" s="55">
        <v>0</v>
      </c>
      <c r="BW649" s="55">
        <v>0</v>
      </c>
      <c r="BX649" s="55">
        <v>0</v>
      </c>
      <c r="BY649" s="55">
        <v>0</v>
      </c>
      <c r="BZ649" s="55"/>
      <c r="CA649" s="63"/>
      <c r="CB649" s="64">
        <v>61718.460900600003</v>
      </c>
      <c r="CD649" s="75"/>
      <c r="CE649" s="6"/>
    </row>
    <row r="650" spans="1:84" x14ac:dyDescent="0.25">
      <c r="A650" s="105">
        <f t="shared" si="174"/>
        <v>628</v>
      </c>
      <c r="B650" s="106">
        <f t="shared" si="170"/>
        <v>168</v>
      </c>
      <c r="C650" s="107" t="s">
        <v>108</v>
      </c>
      <c r="D650" s="107" t="s">
        <v>475</v>
      </c>
      <c r="E650" s="128">
        <v>1981</v>
      </c>
      <c r="F650" s="128">
        <v>2013</v>
      </c>
      <c r="G650" s="128" t="s">
        <v>64</v>
      </c>
      <c r="H650" s="128">
        <v>5</v>
      </c>
      <c r="I650" s="128">
        <v>4</v>
      </c>
      <c r="J650" s="63">
        <v>4887.3</v>
      </c>
      <c r="K650" s="63">
        <v>4312.8999999999996</v>
      </c>
      <c r="L650" s="63">
        <v>0</v>
      </c>
      <c r="M650" s="129">
        <v>194</v>
      </c>
      <c r="N650" s="108">
        <v>45988963.729999997</v>
      </c>
      <c r="O650" s="63"/>
      <c r="P650" s="62">
        <v>10485366.83</v>
      </c>
      <c r="Q650" s="63"/>
      <c r="R650" s="63"/>
      <c r="S650" s="62">
        <v>11765141.4</v>
      </c>
      <c r="T650" s="62">
        <v>23738455.5</v>
      </c>
      <c r="U650" s="63">
        <v>16925.260160487898</v>
      </c>
      <c r="V650" s="63">
        <v>1306.2830200640001</v>
      </c>
      <c r="W650" s="59">
        <v>2024</v>
      </c>
      <c r="X650" s="6" t="e">
        <v>#REF!</v>
      </c>
      <c r="Z650" s="62">
        <f>SUM(AA650:AO650)</f>
        <v>78714458.099999979</v>
      </c>
      <c r="AA650" s="55">
        <v>7207971.2584861796</v>
      </c>
      <c r="AB650" s="55">
        <v>4168566.8282412002</v>
      </c>
      <c r="AC650" s="55">
        <v>4406483.7908326201</v>
      </c>
      <c r="AD650" s="55">
        <v>3359981.3480309998</v>
      </c>
      <c r="AE650" s="55">
        <v>1342243.77142212</v>
      </c>
      <c r="AF650" s="55"/>
      <c r="AG650" s="55">
        <v>358162.19323500001</v>
      </c>
      <c r="AH650" s="55">
        <v>0</v>
      </c>
      <c r="AI650" s="55">
        <v>12831286.273936201</v>
      </c>
      <c r="AJ650" s="55">
        <v>0</v>
      </c>
      <c r="AK650" s="55">
        <v>24912015.084657099</v>
      </c>
      <c r="AL650" s="55">
        <v>9797576.0184224993</v>
      </c>
      <c r="AM650" s="55">
        <v>8047601.1061000004</v>
      </c>
      <c r="AN650" s="63">
        <v>787144.58100000001</v>
      </c>
      <c r="AO650" s="64">
        <v>1495425.84563606</v>
      </c>
      <c r="AP650" s="61">
        <f>+N650-'Приложение №2'!E650</f>
        <v>5.7068616151809692E-3</v>
      </c>
      <c r="AQ650" s="6">
        <f>2437871.1-R420</f>
        <v>2437871.1</v>
      </c>
      <c r="AR650" s="3">
        <f>+(K650*10.5+L650*21)*12*0.85</f>
        <v>461911.58999999991</v>
      </c>
      <c r="AS650" s="3">
        <f>+(K650*10.5+L650*21)*12*30-S420</f>
        <v>15220211.974457117</v>
      </c>
      <c r="AT650" s="6">
        <f t="shared" si="178"/>
        <v>-3455070.5744571164</v>
      </c>
      <c r="AU650" s="6" t="e">
        <v>#REF!</v>
      </c>
      <c r="AV650" s="6" t="e">
        <v>#REF!</v>
      </c>
      <c r="AW650" s="110">
        <f t="shared" si="172"/>
        <v>72996954.546168387</v>
      </c>
      <c r="AX650" s="55">
        <v>13252960.9734824</v>
      </c>
      <c r="AY650" s="55">
        <v>5463949.4500000002</v>
      </c>
      <c r="AZ650" s="55">
        <v>5779912.4346651603</v>
      </c>
      <c r="BA650" s="55">
        <v>4539383.7009658199</v>
      </c>
      <c r="BB650" s="55">
        <v>1746367.9118282599</v>
      </c>
      <c r="BC650" s="55"/>
      <c r="BD650" s="55">
        <v>358162.19323500001</v>
      </c>
      <c r="BE650" s="55">
        <v>0</v>
      </c>
      <c r="BF650" s="55">
        <v>24547082.889778201</v>
      </c>
      <c r="BG650" s="55">
        <v>0</v>
      </c>
      <c r="BH650" s="55"/>
      <c r="BI650" s="55">
        <v>13819375.8913131</v>
      </c>
      <c r="BJ650" s="55">
        <v>1237123.4752559599</v>
      </c>
      <c r="BK650" s="63">
        <v>730811.92458634102</v>
      </c>
      <c r="BL650" s="64">
        <v>1521823.70105814</v>
      </c>
      <c r="BM650" s="110">
        <f t="shared" si="173"/>
        <v>72996954.546168387</v>
      </c>
      <c r="BN650" s="55">
        <v>13252960.9734824</v>
      </c>
      <c r="BO650" s="55">
        <v>5463949.4500000002</v>
      </c>
      <c r="BP650" s="55">
        <v>5779912.4346651603</v>
      </c>
      <c r="BQ650" s="55">
        <v>4539383.7009658199</v>
      </c>
      <c r="BR650" s="55">
        <v>1746367.9118282599</v>
      </c>
      <c r="BS650" s="55"/>
      <c r="BT650" s="55">
        <v>358162.19323500001</v>
      </c>
      <c r="BU650" s="55">
        <v>0</v>
      </c>
      <c r="BV650" s="55">
        <v>24547082.889778201</v>
      </c>
      <c r="BW650" s="55">
        <v>0</v>
      </c>
      <c r="BX650" s="55"/>
      <c r="BY650" s="55">
        <v>13819375.8913131</v>
      </c>
      <c r="BZ650" s="55">
        <v>1237123.4752559599</v>
      </c>
      <c r="CA650" s="63">
        <v>730811.92458634102</v>
      </c>
      <c r="CB650" s="64">
        <v>1521823.70105814</v>
      </c>
      <c r="CD650" s="75"/>
      <c r="CE650" s="6"/>
      <c r="CF650" s="117"/>
    </row>
    <row r="651" spans="1:84" x14ac:dyDescent="0.25">
      <c r="A651" s="105">
        <f t="shared" si="174"/>
        <v>629</v>
      </c>
      <c r="B651" s="106">
        <f t="shared" si="170"/>
        <v>169</v>
      </c>
      <c r="C651" s="107" t="s">
        <v>108</v>
      </c>
      <c r="D651" s="107" t="s">
        <v>361</v>
      </c>
      <c r="E651" s="128">
        <v>1964</v>
      </c>
      <c r="F651" s="128">
        <v>2009</v>
      </c>
      <c r="G651" s="128" t="s">
        <v>64</v>
      </c>
      <c r="H651" s="128">
        <v>4</v>
      </c>
      <c r="I651" s="128">
        <v>2</v>
      </c>
      <c r="J651" s="63">
        <v>1462.3</v>
      </c>
      <c r="K651" s="63">
        <v>1198.5999999999999</v>
      </c>
      <c r="L651" s="63">
        <v>42.9</v>
      </c>
      <c r="M651" s="129">
        <v>60</v>
      </c>
      <c r="N651" s="108">
        <v>13993264.99</v>
      </c>
      <c r="O651" s="63"/>
      <c r="P651" s="62">
        <v>3564749.5</v>
      </c>
      <c r="Q651" s="63"/>
      <c r="R651" s="62">
        <v>249875.83</v>
      </c>
      <c r="S651" s="62">
        <v>257563.77</v>
      </c>
      <c r="T651" s="62">
        <v>9921075.8900000006</v>
      </c>
      <c r="U651" s="63">
        <v>14439.003804399301</v>
      </c>
      <c r="V651" s="63">
        <v>1311.2830200640001</v>
      </c>
      <c r="W651" s="59">
        <v>2024</v>
      </c>
      <c r="X651" s="6" t="e">
        <v>#REF!</v>
      </c>
      <c r="Z651" s="62">
        <f>SUM(AA651:AO651)</f>
        <v>20418803.975269284</v>
      </c>
      <c r="AA651" s="55">
        <v>3233669.8007459999</v>
      </c>
      <c r="AB651" s="55">
        <v>1144519.81959</v>
      </c>
      <c r="AC651" s="55">
        <v>1220789.9808032799</v>
      </c>
      <c r="AD651" s="55">
        <v>768385.93582799996</v>
      </c>
      <c r="AE651" s="55">
        <v>553182.05875800003</v>
      </c>
      <c r="AF651" s="55"/>
      <c r="AG651" s="55">
        <v>117081.436122</v>
      </c>
      <c r="AH651" s="55">
        <v>0</v>
      </c>
      <c r="AI651" s="55">
        <v>5981715.0371580003</v>
      </c>
      <c r="AJ651" s="55">
        <v>0</v>
      </c>
      <c r="AK651" s="55">
        <v>3107129.5399620002</v>
      </c>
      <c r="AL651" s="55">
        <v>3344141.2588049201</v>
      </c>
      <c r="AM651" s="55">
        <v>451116.49</v>
      </c>
      <c r="AN651" s="55">
        <v>71289.704895854593</v>
      </c>
      <c r="AO651" s="64">
        <v>425782.91260122898</v>
      </c>
      <c r="AP651" s="61">
        <f>+N651-'Приложение №2'!E651</f>
        <v>6.2229987233877182E-3</v>
      </c>
      <c r="AQ651" s="6">
        <f>686372.31-86252.57-R286</f>
        <v>-137559.24</v>
      </c>
      <c r="AR651" s="3">
        <f>+(K651*10.5+L651*21)*12*0.85</f>
        <v>137559.24</v>
      </c>
      <c r="AS651" s="3">
        <f>+(K651*10.5+L651*21)*12*30-S286</f>
        <v>-67341.611571470276</v>
      </c>
      <c r="AT651" s="6">
        <f t="shared" si="178"/>
        <v>324905.38157147029</v>
      </c>
      <c r="AU651" s="6" t="e">
        <v>#REF!</v>
      </c>
      <c r="AV651" s="6" t="e">
        <v>#REF!</v>
      </c>
      <c r="AW651" s="110">
        <f t="shared" si="172"/>
        <v>17306589.959952999</v>
      </c>
      <c r="AX651" s="55"/>
      <c r="AY651" s="55">
        <v>1549048.0710390001</v>
      </c>
      <c r="AZ651" s="55"/>
      <c r="BA651" s="55">
        <v>1294043.959488</v>
      </c>
      <c r="BB651" s="55"/>
      <c r="BC651" s="55"/>
      <c r="BD651" s="55"/>
      <c r="BE651" s="55">
        <v>0</v>
      </c>
      <c r="BF651" s="55"/>
      <c r="BG651" s="55">
        <v>0</v>
      </c>
      <c r="BH651" s="55">
        <v>9490291.0997369997</v>
      </c>
      <c r="BI651" s="55">
        <v>3959521.14271753</v>
      </c>
      <c r="BJ651" s="55">
        <v>390060.34769999998</v>
      </c>
      <c r="BK651" s="55">
        <v>37971.527699999999</v>
      </c>
      <c r="BL651" s="64">
        <v>585653.81157147198</v>
      </c>
      <c r="BM651" s="110">
        <f t="shared" si="173"/>
        <v>17306589.959952999</v>
      </c>
      <c r="BN651" s="55"/>
      <c r="BO651" s="55">
        <v>1549048.0710390001</v>
      </c>
      <c r="BP651" s="55"/>
      <c r="BQ651" s="55">
        <v>1294043.959488</v>
      </c>
      <c r="BR651" s="55"/>
      <c r="BS651" s="55"/>
      <c r="BT651" s="55"/>
      <c r="BU651" s="55">
        <v>0</v>
      </c>
      <c r="BV651" s="55"/>
      <c r="BW651" s="55">
        <v>0</v>
      </c>
      <c r="BX651" s="55">
        <v>9490291.0997369997</v>
      </c>
      <c r="BY651" s="55">
        <v>3959521.14271753</v>
      </c>
      <c r="BZ651" s="55">
        <v>390060.34769999998</v>
      </c>
      <c r="CA651" s="55">
        <v>37971.527699999999</v>
      </c>
      <c r="CB651" s="64">
        <v>585653.81157147198</v>
      </c>
      <c r="CD651" s="75"/>
      <c r="CE651" s="6"/>
    </row>
    <row r="652" spans="1:84" x14ac:dyDescent="0.25">
      <c r="A652" s="105">
        <f t="shared" si="174"/>
        <v>630</v>
      </c>
      <c r="B652" s="106">
        <f t="shared" si="170"/>
        <v>170</v>
      </c>
      <c r="C652" s="107" t="s">
        <v>108</v>
      </c>
      <c r="D652" s="107" t="s">
        <v>164</v>
      </c>
      <c r="E652" s="128">
        <v>1963</v>
      </c>
      <c r="F652" s="128">
        <v>2005</v>
      </c>
      <c r="G652" s="128" t="s">
        <v>64</v>
      </c>
      <c r="H652" s="128">
        <v>4</v>
      </c>
      <c r="I652" s="128">
        <v>2</v>
      </c>
      <c r="J652" s="63">
        <v>1240.4000000000001</v>
      </c>
      <c r="K652" s="63">
        <v>1075.8</v>
      </c>
      <c r="L652" s="63">
        <v>111.9</v>
      </c>
      <c r="M652" s="129">
        <v>70</v>
      </c>
      <c r="N652" s="108">
        <v>3743689.53</v>
      </c>
      <c r="O652" s="63"/>
      <c r="P652" s="63"/>
      <c r="Q652" s="63"/>
      <c r="R652" s="62">
        <v>554474.52</v>
      </c>
      <c r="S652" s="62">
        <v>3189215.01</v>
      </c>
      <c r="T652" s="63"/>
      <c r="U652" s="63">
        <v>3545.46087430325</v>
      </c>
      <c r="V652" s="63">
        <v>3545.46087430325</v>
      </c>
      <c r="W652" s="59">
        <v>2024</v>
      </c>
      <c r="X652" s="6" t="e">
        <v>#REF!</v>
      </c>
      <c r="Z652" s="62">
        <f>SUM(AA652:AO652)</f>
        <v>6371609.4744707607</v>
      </c>
      <c r="AA652" s="55">
        <v>2696472.9036772801</v>
      </c>
      <c r="AB652" s="55">
        <v>960864.14913719997</v>
      </c>
      <c r="AC652" s="55"/>
      <c r="AD652" s="55">
        <v>628498.13628335996</v>
      </c>
      <c r="AE652" s="55">
        <v>384538.10584644001</v>
      </c>
      <c r="AF652" s="55"/>
      <c r="AG652" s="55">
        <v>103471.04618424</v>
      </c>
      <c r="AH652" s="55">
        <v>0</v>
      </c>
      <c r="AI652" s="55"/>
      <c r="AJ652" s="55">
        <v>0</v>
      </c>
      <c r="AK652" s="55">
        <v>0</v>
      </c>
      <c r="AL652" s="55">
        <v>0</v>
      </c>
      <c r="AM652" s="55">
        <v>1240567.6336999999</v>
      </c>
      <c r="AN652" s="63">
        <v>123050.61470000001</v>
      </c>
      <c r="AO652" s="64">
        <v>234146.88494223999</v>
      </c>
      <c r="AP652" s="61">
        <f>+N652-'Приложение №2'!E652</f>
        <v>-2.5997506454586983E-3</v>
      </c>
      <c r="AQ652" s="1">
        <v>669629.44999999995</v>
      </c>
      <c r="AR652" s="3">
        <f>+(K652*10+L652*20)*12*0.85</f>
        <v>132559.19999999998</v>
      </c>
      <c r="AS652" s="3">
        <f>+(K652*10+L652*20)*12*30-1442997.24</f>
        <v>3235562.76</v>
      </c>
      <c r="AT652" s="6">
        <f t="shared" si="178"/>
        <v>-46347.75</v>
      </c>
      <c r="AU652" s="6" t="e">
        <v>#REF!</v>
      </c>
      <c r="AV652" s="6" t="e">
        <v>#REF!</v>
      </c>
      <c r="AW652" s="62">
        <f t="shared" si="172"/>
        <v>4210943.8804099699</v>
      </c>
      <c r="AX652" s="55">
        <v>3372340.0006102198</v>
      </c>
      <c r="AY652" s="55"/>
      <c r="AZ652" s="55"/>
      <c r="BA652" s="55"/>
      <c r="BC652" s="55"/>
      <c r="BD652" s="55"/>
      <c r="BE652" s="55">
        <v>0</v>
      </c>
      <c r="BF652" s="55"/>
      <c r="BG652" s="55">
        <v>0</v>
      </c>
      <c r="BH652" s="55">
        <v>0</v>
      </c>
      <c r="BI652" s="55">
        <v>0</v>
      </c>
      <c r="BJ652" s="55">
        <v>513326.799</v>
      </c>
      <c r="BK652" s="63">
        <v>73858.718200000003</v>
      </c>
      <c r="BL652" s="64">
        <v>251418.36259974999</v>
      </c>
      <c r="BM652" s="62">
        <f t="shared" si="173"/>
        <v>4210943.8804099699</v>
      </c>
      <c r="BN652" s="55">
        <v>3372340.0006102198</v>
      </c>
      <c r="BO652" s="55"/>
      <c r="BP652" s="55"/>
      <c r="BQ652" s="55"/>
      <c r="BS652" s="55"/>
      <c r="BT652" s="55"/>
      <c r="BU652" s="55">
        <v>0</v>
      </c>
      <c r="BV652" s="55"/>
      <c r="BW652" s="55">
        <v>0</v>
      </c>
      <c r="BX652" s="55">
        <v>0</v>
      </c>
      <c r="BY652" s="55">
        <v>0</v>
      </c>
      <c r="BZ652" s="55">
        <v>513326.799</v>
      </c>
      <c r="CA652" s="63">
        <v>73858.718200000003</v>
      </c>
      <c r="CB652" s="64">
        <v>251418.36259974999</v>
      </c>
      <c r="CD652" s="75"/>
      <c r="CE652" s="6"/>
    </row>
    <row r="653" spans="1:84" s="69" customFormat="1" x14ac:dyDescent="0.25">
      <c r="A653" s="105">
        <f t="shared" si="174"/>
        <v>631</v>
      </c>
      <c r="B653" s="106">
        <f t="shared" si="170"/>
        <v>171</v>
      </c>
      <c r="C653" s="107" t="s">
        <v>181</v>
      </c>
      <c r="D653" s="107" t="s">
        <v>359</v>
      </c>
      <c r="E653" s="128" t="s">
        <v>360</v>
      </c>
      <c r="F653" s="128"/>
      <c r="G653" s="128" t="s">
        <v>64</v>
      </c>
      <c r="H653" s="128" t="s">
        <v>184</v>
      </c>
      <c r="I653" s="128" t="s">
        <v>102</v>
      </c>
      <c r="J653" s="63">
        <v>2017.1</v>
      </c>
      <c r="K653" s="63">
        <v>1568.7</v>
      </c>
      <c r="L653" s="63">
        <v>241.9</v>
      </c>
      <c r="M653" s="129">
        <v>64</v>
      </c>
      <c r="N653" s="108">
        <v>24834064.850000001</v>
      </c>
      <c r="O653" s="63">
        <v>0</v>
      </c>
      <c r="P653" s="62">
        <v>6968602.9000000004</v>
      </c>
      <c r="Q653" s="63"/>
      <c r="R653" s="62">
        <v>209355</v>
      </c>
      <c r="S653" s="62">
        <v>1153338.48</v>
      </c>
      <c r="T653" s="62">
        <v>16502768.470000001</v>
      </c>
      <c r="U653" s="63">
        <v>12922.8899657411</v>
      </c>
      <c r="V653" s="63">
        <v>12922.8899657411</v>
      </c>
      <c r="W653" s="59">
        <v>2024</v>
      </c>
      <c r="X653" s="69">
        <v>737547.36</v>
      </c>
      <c r="Y653" s="69">
        <f>+(K653*9.1+L653*18.19)*12</f>
        <v>224103.97199999998</v>
      </c>
      <c r="AA653" s="70" t="e">
        <v>#REF!</v>
      </c>
      <c r="AD653" s="70" t="e">
        <v>#REF!</v>
      </c>
      <c r="AP653" s="61">
        <f>+N653-'Приложение №2'!E653</f>
        <v>-2.1491684019565582E-3</v>
      </c>
      <c r="AQ653" s="114">
        <f>1030579.29-R284</f>
        <v>-209355</v>
      </c>
      <c r="AR653" s="3">
        <f>+(K653*10+L653*20)*12*0.85</f>
        <v>209355</v>
      </c>
      <c r="AS653" s="3">
        <f>+(K653*10+L653*20)*12*30-S284</f>
        <v>763332.49914843962</v>
      </c>
      <c r="AT653" s="6">
        <f t="shared" si="178"/>
        <v>390005.98085156037</v>
      </c>
      <c r="AU653" s="6" t="e">
        <v>#REF!</v>
      </c>
      <c r="AV653" s="6" t="e">
        <v>#REF!</v>
      </c>
      <c r="AW653" s="62">
        <f t="shared" si="172"/>
        <v>23398184.571970921</v>
      </c>
      <c r="AX653" s="55">
        <v>5140994.1947502503</v>
      </c>
      <c r="AY653" s="55"/>
      <c r="AZ653" s="55"/>
      <c r="BA653" s="55"/>
      <c r="BB653" s="55"/>
      <c r="BC653" s="55"/>
      <c r="BD653" s="55">
        <v>197263.76375643001</v>
      </c>
      <c r="BE653" s="55"/>
      <c r="BF653" s="55"/>
      <c r="BG653" s="55"/>
      <c r="BH653" s="55">
        <v>12424389.395071501</v>
      </c>
      <c r="BI653" s="55">
        <v>4796312.2275411803</v>
      </c>
      <c r="BJ653" s="55"/>
      <c r="BK653" s="63"/>
      <c r="BL653" s="64">
        <v>839224.990851562</v>
      </c>
      <c r="BM653" s="62">
        <f t="shared" si="173"/>
        <v>23398184.571970921</v>
      </c>
      <c r="BN653" s="55">
        <v>5140994.1947502503</v>
      </c>
      <c r="BO653" s="55"/>
      <c r="BP653" s="55"/>
      <c r="BQ653" s="55"/>
      <c r="BR653" s="55"/>
      <c r="BS653" s="55"/>
      <c r="BT653" s="55">
        <v>197263.76375643001</v>
      </c>
      <c r="BU653" s="55"/>
      <c r="BV653" s="55"/>
      <c r="BW653" s="55"/>
      <c r="BX653" s="55">
        <v>12424389.395071501</v>
      </c>
      <c r="BY653" s="55">
        <v>4796312.2275411803</v>
      </c>
      <c r="BZ653" s="55"/>
      <c r="CA653" s="63"/>
      <c r="CB653" s="64">
        <v>839224.990851562</v>
      </c>
      <c r="CD653" s="75"/>
      <c r="CE653" s="6"/>
    </row>
    <row r="654" spans="1:84" x14ac:dyDescent="0.25">
      <c r="A654" s="105">
        <f t="shared" si="174"/>
        <v>632</v>
      </c>
      <c r="B654" s="106">
        <f t="shared" si="170"/>
        <v>172</v>
      </c>
      <c r="C654" s="107" t="s">
        <v>108</v>
      </c>
      <c r="D654" s="107" t="s">
        <v>622</v>
      </c>
      <c r="E654" s="128">
        <v>1965</v>
      </c>
      <c r="F654" s="128">
        <v>2013</v>
      </c>
      <c r="G654" s="128" t="s">
        <v>64</v>
      </c>
      <c r="H654" s="128">
        <v>4</v>
      </c>
      <c r="I654" s="128">
        <v>4</v>
      </c>
      <c r="J654" s="63">
        <v>1940.1</v>
      </c>
      <c r="K654" s="63">
        <v>1500.8</v>
      </c>
      <c r="L654" s="63">
        <v>439.3</v>
      </c>
      <c r="M654" s="129">
        <v>74</v>
      </c>
      <c r="N654" s="108">
        <v>5368365.84</v>
      </c>
      <c r="O654" s="63"/>
      <c r="P654" s="63"/>
      <c r="Q654" s="63"/>
      <c r="R654" s="62">
        <v>1452074.79</v>
      </c>
      <c r="S654" s="62">
        <v>3916291.05</v>
      </c>
      <c r="T654" s="63">
        <v>0</v>
      </c>
      <c r="U654" s="63">
        <v>3635.1456907604802</v>
      </c>
      <c r="V654" s="63">
        <v>1307.2830200640001</v>
      </c>
      <c r="W654" s="59">
        <v>2024</v>
      </c>
      <c r="X654" s="6" t="e">
        <v>#REF!</v>
      </c>
      <c r="Z654" s="62">
        <f t="shared" ref="Z654:Z660" si="179">SUM(AA654:AO654)</f>
        <v>4885248.5954377195</v>
      </c>
      <c r="AA654" s="55">
        <v>3936147.9321097201</v>
      </c>
      <c r="AB654" s="55">
        <v>0</v>
      </c>
      <c r="AC654" s="55">
        <v>0</v>
      </c>
      <c r="AD654" s="55">
        <v>0</v>
      </c>
      <c r="AE654" s="55">
        <v>687978.38608800003</v>
      </c>
      <c r="AF654" s="55"/>
      <c r="AG654" s="55">
        <v>0</v>
      </c>
      <c r="AH654" s="55">
        <v>0</v>
      </c>
      <c r="AI654" s="55">
        <v>0</v>
      </c>
      <c r="AJ654" s="55">
        <v>0</v>
      </c>
      <c r="AK654" s="55">
        <v>0</v>
      </c>
      <c r="AL654" s="55">
        <v>0</v>
      </c>
      <c r="AM654" s="55">
        <v>114738.14</v>
      </c>
      <c r="AN654" s="55">
        <v>45263.86</v>
      </c>
      <c r="AO654" s="64">
        <v>101120.27724</v>
      </c>
      <c r="AP654" s="61">
        <f>+N654-'Приложение №2'!E654</f>
        <v>-2.6933401823043823E-3</v>
      </c>
      <c r="AQ654" s="1">
        <f>1284501.86-87260.81</f>
        <v>1197241.05</v>
      </c>
      <c r="AR654" s="3">
        <f>+(K654*10.5+L654*21)*12*0.85</f>
        <v>254833.74000000002</v>
      </c>
      <c r="AS654" s="3">
        <f>+(K654*10.5+L654*21)*12*30</f>
        <v>8994132</v>
      </c>
      <c r="AT654" s="6">
        <f t="shared" si="178"/>
        <v>-5077840.95</v>
      </c>
      <c r="AU654" s="6" t="e">
        <v>#REF!</v>
      </c>
      <c r="AV654" s="6" t="e">
        <v>#REF!</v>
      </c>
      <c r="AW654" s="110">
        <f t="shared" si="172"/>
        <v>5455626.6526933396</v>
      </c>
      <c r="AX654" s="55">
        <v>5002408.7896594899</v>
      </c>
      <c r="AY654" s="55">
        <v>0</v>
      </c>
      <c r="AZ654" s="55">
        <v>0</v>
      </c>
      <c r="BA654" s="55">
        <v>0</v>
      </c>
      <c r="BB654" s="55"/>
      <c r="BC654" s="55"/>
      <c r="BD654" s="55">
        <v>181362.34506279099</v>
      </c>
      <c r="BE654" s="55">
        <v>0</v>
      </c>
      <c r="BF654" s="55">
        <v>0</v>
      </c>
      <c r="BG654" s="55">
        <v>0</v>
      </c>
      <c r="BH654" s="55">
        <v>0</v>
      </c>
      <c r="BI654" s="55">
        <v>0</v>
      </c>
      <c r="BJ654" s="55">
        <v>114738.14</v>
      </c>
      <c r="BK654" s="55">
        <v>45263.86</v>
      </c>
      <c r="BL654" s="64">
        <v>111853.517971058</v>
      </c>
      <c r="BM654" s="110">
        <f t="shared" si="173"/>
        <v>5455626.6526933396</v>
      </c>
      <c r="BN654" s="55">
        <v>5002408.7896594899</v>
      </c>
      <c r="BO654" s="55">
        <v>0</v>
      </c>
      <c r="BP654" s="55">
        <v>0</v>
      </c>
      <c r="BQ654" s="55">
        <v>0</v>
      </c>
      <c r="BR654" s="55"/>
      <c r="BS654" s="55"/>
      <c r="BT654" s="55">
        <v>181362.34506279099</v>
      </c>
      <c r="BU654" s="55">
        <v>0</v>
      </c>
      <c r="BV654" s="55">
        <v>0</v>
      </c>
      <c r="BW654" s="55">
        <v>0</v>
      </c>
      <c r="BX654" s="55">
        <v>0</v>
      </c>
      <c r="BY654" s="55">
        <v>0</v>
      </c>
      <c r="BZ654" s="55">
        <v>114738.14</v>
      </c>
      <c r="CA654" s="55">
        <v>45263.86</v>
      </c>
      <c r="CB654" s="64">
        <v>111853.517971058</v>
      </c>
      <c r="CD654" s="75"/>
      <c r="CE654" s="6"/>
      <c r="CF654" s="117"/>
    </row>
    <row r="655" spans="1:84" x14ac:dyDescent="0.25">
      <c r="A655" s="105">
        <f t="shared" si="174"/>
        <v>633</v>
      </c>
      <c r="B655" s="106">
        <f t="shared" si="170"/>
        <v>173</v>
      </c>
      <c r="C655" s="107" t="s">
        <v>108</v>
      </c>
      <c r="D655" s="107" t="s">
        <v>623</v>
      </c>
      <c r="E655" s="128">
        <v>1975</v>
      </c>
      <c r="F655" s="128">
        <v>2013</v>
      </c>
      <c r="G655" s="128" t="s">
        <v>64</v>
      </c>
      <c r="H655" s="128">
        <v>4</v>
      </c>
      <c r="I655" s="128">
        <v>3</v>
      </c>
      <c r="J655" s="63">
        <v>2508.8000000000002</v>
      </c>
      <c r="K655" s="63">
        <v>1514.2</v>
      </c>
      <c r="L655" s="63">
        <v>994.6</v>
      </c>
      <c r="M655" s="129">
        <v>75</v>
      </c>
      <c r="N655" s="108">
        <v>6946790.9900000002</v>
      </c>
      <c r="O655" s="63"/>
      <c r="P655" s="63"/>
      <c r="Q655" s="63"/>
      <c r="R655" s="62">
        <v>1959164.11</v>
      </c>
      <c r="S655" s="62">
        <v>4987626.88</v>
      </c>
      <c r="T655" s="63"/>
      <c r="U655" s="63">
        <v>4648.3543137918095</v>
      </c>
      <c r="V655" s="63">
        <v>1308.2830200640001</v>
      </c>
      <c r="W655" s="59">
        <v>2024</v>
      </c>
      <c r="X655" s="6" t="e">
        <v>#REF!</v>
      </c>
      <c r="Z655" s="62">
        <f t="shared" si="179"/>
        <v>4819950.5733733</v>
      </c>
      <c r="AA655" s="55">
        <v>3881391.7568712998</v>
      </c>
      <c r="AB655" s="55">
        <v>0</v>
      </c>
      <c r="AC655" s="55">
        <v>0</v>
      </c>
      <c r="AD655" s="55">
        <v>0</v>
      </c>
      <c r="AE655" s="55">
        <v>673980.27639599994</v>
      </c>
      <c r="AF655" s="55"/>
      <c r="AG655" s="55">
        <v>0</v>
      </c>
      <c r="AH655" s="55">
        <v>0</v>
      </c>
      <c r="AI655" s="55">
        <v>0</v>
      </c>
      <c r="AJ655" s="55">
        <v>0</v>
      </c>
      <c r="AK655" s="55">
        <v>0</v>
      </c>
      <c r="AL655" s="55">
        <v>0</v>
      </c>
      <c r="AM655" s="55">
        <v>119126.96</v>
      </c>
      <c r="AN655" s="55">
        <v>45834.82</v>
      </c>
      <c r="AO655" s="64">
        <v>99616.760106000002</v>
      </c>
      <c r="AP655" s="61">
        <f>+N655-'Приложение №2'!E655</f>
        <v>-1.9435537979006767E-3</v>
      </c>
      <c r="AQ655" s="1">
        <f>1675697.08-91747.11</f>
        <v>1583949.97</v>
      </c>
      <c r="AR655" s="3">
        <f>+(K655*10.5+L655*21)*12*0.85</f>
        <v>375214.14</v>
      </c>
      <c r="AS655" s="3">
        <f>+(K655*10.5+L655*21)*12*30</f>
        <v>13242852</v>
      </c>
      <c r="AT655" s="6">
        <f t="shared" si="178"/>
        <v>-8255225.1200000001</v>
      </c>
      <c r="AU655" s="6" t="e">
        <v>#REF!</v>
      </c>
      <c r="AV655" s="6" t="e">
        <v>#REF!</v>
      </c>
      <c r="AW655" s="110">
        <f t="shared" si="172"/>
        <v>7038538.1019435544</v>
      </c>
      <c r="AX655" s="55">
        <v>6493512.7739412496</v>
      </c>
      <c r="AY655" s="55">
        <v>0</v>
      </c>
      <c r="AZ655" s="55">
        <v>0</v>
      </c>
      <c r="BA655" s="55">
        <v>0</v>
      </c>
      <c r="BB655" s="55"/>
      <c r="BC655" s="55"/>
      <c r="BD655" s="55">
        <v>234524.947834405</v>
      </c>
      <c r="BE655" s="55">
        <v>0</v>
      </c>
      <c r="BF655" s="55">
        <v>0</v>
      </c>
      <c r="BG655" s="55">
        <v>0</v>
      </c>
      <c r="BH655" s="55">
        <v>0</v>
      </c>
      <c r="BI655" s="55">
        <v>0</v>
      </c>
      <c r="BJ655" s="55">
        <v>119126.96</v>
      </c>
      <c r="BK655" s="55">
        <v>45834.82</v>
      </c>
      <c r="BL655" s="64">
        <v>145538.60016789901</v>
      </c>
      <c r="BM655" s="110">
        <f t="shared" si="173"/>
        <v>7038538.1019435544</v>
      </c>
      <c r="BN655" s="55">
        <v>6493512.7739412496</v>
      </c>
      <c r="BO655" s="55">
        <v>0</v>
      </c>
      <c r="BP655" s="55">
        <v>0</v>
      </c>
      <c r="BQ655" s="55">
        <v>0</v>
      </c>
      <c r="BR655" s="55"/>
      <c r="BS655" s="55"/>
      <c r="BT655" s="55">
        <v>234524.947834405</v>
      </c>
      <c r="BU655" s="55">
        <v>0</v>
      </c>
      <c r="BV655" s="55">
        <v>0</v>
      </c>
      <c r="BW655" s="55">
        <v>0</v>
      </c>
      <c r="BX655" s="55">
        <v>0</v>
      </c>
      <c r="BY655" s="55">
        <v>0</v>
      </c>
      <c r="BZ655" s="55">
        <v>119126.96</v>
      </c>
      <c r="CA655" s="55">
        <v>45834.82</v>
      </c>
      <c r="CB655" s="64">
        <v>145538.60016789901</v>
      </c>
      <c r="CD655" s="75"/>
      <c r="CE655" s="6"/>
      <c r="CF655" s="117"/>
    </row>
    <row r="656" spans="1:84" x14ac:dyDescent="0.25">
      <c r="A656" s="105">
        <f t="shared" si="174"/>
        <v>634</v>
      </c>
      <c r="B656" s="106">
        <f t="shared" si="170"/>
        <v>174</v>
      </c>
      <c r="C656" s="107" t="s">
        <v>108</v>
      </c>
      <c r="D656" s="107" t="s">
        <v>165</v>
      </c>
      <c r="E656" s="128">
        <v>1965</v>
      </c>
      <c r="F656" s="128">
        <v>2005</v>
      </c>
      <c r="G656" s="128" t="s">
        <v>64</v>
      </c>
      <c r="H656" s="128">
        <v>4</v>
      </c>
      <c r="I656" s="128">
        <v>4</v>
      </c>
      <c r="J656" s="63">
        <v>2661.8</v>
      </c>
      <c r="K656" s="63">
        <v>2220.4</v>
      </c>
      <c r="L656" s="63">
        <v>229.71</v>
      </c>
      <c r="M656" s="129">
        <v>111</v>
      </c>
      <c r="N656" s="108">
        <v>23412324.329999998</v>
      </c>
      <c r="O656" s="63"/>
      <c r="P656" s="62">
        <v>4053855.51</v>
      </c>
      <c r="Q656" s="63"/>
      <c r="R656" s="62">
        <v>258323.82</v>
      </c>
      <c r="S656" s="62">
        <v>397947.35</v>
      </c>
      <c r="T656" s="62">
        <v>18702197.649999999</v>
      </c>
      <c r="U656" s="63">
        <v>12180.3300759663</v>
      </c>
      <c r="V656" s="63">
        <v>1309.2830200640001</v>
      </c>
      <c r="W656" s="59">
        <v>2024</v>
      </c>
      <c r="X656" s="6" t="e">
        <v>#REF!</v>
      </c>
      <c r="Z656" s="62">
        <f t="shared" si="179"/>
        <v>26489548.390000001</v>
      </c>
      <c r="AA656" s="55">
        <v>5804794.2058142396</v>
      </c>
      <c r="AB656" s="55">
        <v>2068486.8169081199</v>
      </c>
      <c r="AC656" s="55">
        <v>2161108.4722953602</v>
      </c>
      <c r="AD656" s="55">
        <v>1352990.5470060001</v>
      </c>
      <c r="AE656" s="55">
        <v>827809.00358814001</v>
      </c>
      <c r="AF656" s="55"/>
      <c r="AG656" s="55">
        <v>222745.84764851999</v>
      </c>
      <c r="AH656" s="55">
        <v>0</v>
      </c>
      <c r="AI656" s="55">
        <v>10612047.031450201</v>
      </c>
      <c r="AJ656" s="55">
        <v>0</v>
      </c>
      <c r="AK656" s="55">
        <v>0</v>
      </c>
      <c r="AL656" s="55">
        <v>0</v>
      </c>
      <c r="AM656" s="55">
        <v>2670614.5608000001</v>
      </c>
      <c r="AN656" s="63">
        <v>264895.48389999999</v>
      </c>
      <c r="AO656" s="64">
        <v>504056.42058942001</v>
      </c>
      <c r="AP656" s="61">
        <f>+N656-'Приложение №2'!E656</f>
        <v>-5.9683360159397125E-3</v>
      </c>
      <c r="AQ656" s="6">
        <f>1589432.29-R106</f>
        <v>-28684.905640000012</v>
      </c>
      <c r="AR656" s="3">
        <f>+(K656*10.5+L656*21)*12*0.85</f>
        <v>287008.72200000001</v>
      </c>
      <c r="AS656" s="3">
        <f>+(K656*10.5+L656*21)*12*30-S421</f>
        <v>2086879.5481374199</v>
      </c>
      <c r="AT656" s="6">
        <f t="shared" si="178"/>
        <v>-1688932.1981374198</v>
      </c>
      <c r="AU656" s="6" t="e">
        <v>#REF!</v>
      </c>
      <c r="AV656" s="6" t="e">
        <v>#REF!</v>
      </c>
      <c r="AW656" s="110">
        <f t="shared" si="172"/>
        <v>27045204.900675505</v>
      </c>
      <c r="AX656" s="55"/>
      <c r="AY656" s="55">
        <v>2813313.3875597501</v>
      </c>
      <c r="AZ656" s="55"/>
      <c r="BA656" s="55">
        <v>2267584.4522833298</v>
      </c>
      <c r="BB656" s="55"/>
      <c r="BC656" s="55"/>
      <c r="BD656" s="55"/>
      <c r="BE656" s="55">
        <v>0</v>
      </c>
      <c r="BF656" s="55"/>
      <c r="BG656" s="55">
        <v>0</v>
      </c>
      <c r="BH656" s="55">
        <v>16812725.450546</v>
      </c>
      <c r="BI656" s="55"/>
      <c r="BJ656" s="55">
        <v>3718496.5709544001</v>
      </c>
      <c r="BK656" s="63">
        <v>411105.06146944402</v>
      </c>
      <c r="BL656" s="64">
        <v>1021979.97786258</v>
      </c>
      <c r="BM656" s="110">
        <f t="shared" si="173"/>
        <v>27045204.900675505</v>
      </c>
      <c r="BN656" s="55"/>
      <c r="BO656" s="55">
        <v>2813313.3875597501</v>
      </c>
      <c r="BP656" s="55"/>
      <c r="BQ656" s="55">
        <v>2267584.4522833298</v>
      </c>
      <c r="BR656" s="55"/>
      <c r="BS656" s="55"/>
      <c r="BT656" s="55"/>
      <c r="BU656" s="55">
        <v>0</v>
      </c>
      <c r="BV656" s="55"/>
      <c r="BW656" s="55">
        <v>0</v>
      </c>
      <c r="BX656" s="55">
        <v>16812725.450546</v>
      </c>
      <c r="BY656" s="55"/>
      <c r="BZ656" s="55">
        <v>3718496.5709544001</v>
      </c>
      <c r="CA656" s="63">
        <v>411105.06146944402</v>
      </c>
      <c r="CB656" s="64">
        <v>1021979.97786258</v>
      </c>
      <c r="CD656" s="75"/>
      <c r="CE656" s="6"/>
      <c r="CF656" s="117"/>
    </row>
    <row r="657" spans="1:84" x14ac:dyDescent="0.25">
      <c r="A657" s="105">
        <f t="shared" si="174"/>
        <v>635</v>
      </c>
      <c r="B657" s="106">
        <f t="shared" si="170"/>
        <v>175</v>
      </c>
      <c r="C657" s="107" t="s">
        <v>108</v>
      </c>
      <c r="D657" s="107" t="s">
        <v>166</v>
      </c>
      <c r="E657" s="128">
        <v>1977</v>
      </c>
      <c r="F657" s="128">
        <v>2013</v>
      </c>
      <c r="G657" s="128" t="s">
        <v>64</v>
      </c>
      <c r="H657" s="128">
        <v>4</v>
      </c>
      <c r="I657" s="128">
        <v>4</v>
      </c>
      <c r="J657" s="63">
        <v>3916.4</v>
      </c>
      <c r="K657" s="63">
        <v>3440.3</v>
      </c>
      <c r="L657" s="63">
        <v>0</v>
      </c>
      <c r="M657" s="129">
        <v>163</v>
      </c>
      <c r="N657" s="108">
        <v>6359442.8399999999</v>
      </c>
      <c r="O657" s="63"/>
      <c r="P657" s="62">
        <v>3132903.93</v>
      </c>
      <c r="Q657" s="63"/>
      <c r="R657" s="62">
        <v>1930515.81</v>
      </c>
      <c r="S657" s="62">
        <v>770890.55</v>
      </c>
      <c r="T657" s="62">
        <v>525132.55000000005</v>
      </c>
      <c r="U657" s="63">
        <v>1848.51403587305</v>
      </c>
      <c r="V657" s="63">
        <v>1848.51403587305</v>
      </c>
      <c r="W657" s="59">
        <v>2024</v>
      </c>
      <c r="X657" s="6" t="e">
        <v>#REF!</v>
      </c>
      <c r="Z657" s="62">
        <f t="shared" si="179"/>
        <v>62685332.070000015</v>
      </c>
      <c r="AA657" s="55">
        <v>5740166.1959951399</v>
      </c>
      <c r="AB657" s="55">
        <v>3319695.0395049001</v>
      </c>
      <c r="AC657" s="55">
        <v>3509163.4526478602</v>
      </c>
      <c r="AD657" s="55">
        <v>2675766.9644319601</v>
      </c>
      <c r="AE657" s="55">
        <v>1068914.1259818</v>
      </c>
      <c r="AF657" s="55"/>
      <c r="AG657" s="55">
        <v>285227.34661260003</v>
      </c>
      <c r="AH657" s="55">
        <v>0</v>
      </c>
      <c r="AI657" s="55">
        <v>10218369.7972314</v>
      </c>
      <c r="AJ657" s="55">
        <v>0</v>
      </c>
      <c r="AK657" s="55">
        <v>19839022.9193663</v>
      </c>
      <c r="AL657" s="55">
        <v>7802433.2655801</v>
      </c>
      <c r="AM657" s="55">
        <v>6408816.8778999997</v>
      </c>
      <c r="AN657" s="63">
        <v>626853.32070000004</v>
      </c>
      <c r="AO657" s="64">
        <v>1190902.7640479601</v>
      </c>
      <c r="AP657" s="61">
        <f>+N657-'Приложение №2'!E657</f>
        <v>2.3859599605202675E-3</v>
      </c>
      <c r="AQ657" s="6">
        <f>1681538.39-R285</f>
        <v>1453212.42</v>
      </c>
      <c r="AR657" s="3">
        <f>+(K657*10+L657*20)*12*0.85</f>
        <v>350910.6</v>
      </c>
      <c r="AS657" s="3">
        <f>+(K657*10+L657*20)*12*30-S285</f>
        <v>11144104.254993699</v>
      </c>
      <c r="AT657" s="6">
        <f t="shared" si="178"/>
        <v>-10373213.704993699</v>
      </c>
      <c r="AU657" s="6" t="e">
        <v>#REF!</v>
      </c>
      <c r="AV657" s="6" t="e">
        <v>#REF!</v>
      </c>
      <c r="AW657" s="62">
        <f t="shared" si="172"/>
        <v>6359442.8376140399</v>
      </c>
      <c r="AX657" s="55">
        <v>5740166.1959951399</v>
      </c>
      <c r="AY657" s="55"/>
      <c r="AZ657" s="55"/>
      <c r="BB657" s="55"/>
      <c r="BC657" s="55"/>
      <c r="BD657" s="55">
        <v>285227.34661260003</v>
      </c>
      <c r="BE657" s="55"/>
      <c r="BF657" s="55"/>
      <c r="BG657" s="55"/>
      <c r="BH657" s="55"/>
      <c r="BI657" s="55"/>
      <c r="BJ657" s="55"/>
      <c r="BK657" s="63"/>
      <c r="BL657" s="64">
        <v>334049.29500629997</v>
      </c>
      <c r="BM657" s="62">
        <f t="shared" si="173"/>
        <v>6359442.8376140399</v>
      </c>
      <c r="BN657" s="55">
        <v>5740166.1959951399</v>
      </c>
      <c r="BO657" s="55"/>
      <c r="BP657" s="55"/>
      <c r="BR657" s="55"/>
      <c r="BS657" s="55"/>
      <c r="BT657" s="55">
        <v>285227.34661260003</v>
      </c>
      <c r="BU657" s="55"/>
      <c r="BV657" s="55"/>
      <c r="BW657" s="55"/>
      <c r="BX657" s="55"/>
      <c r="BY657" s="55"/>
      <c r="BZ657" s="55"/>
      <c r="CA657" s="63"/>
      <c r="CB657" s="64">
        <v>334049.29500629997</v>
      </c>
      <c r="CD657" s="75"/>
      <c r="CE657" s="6"/>
    </row>
    <row r="658" spans="1:84" x14ac:dyDescent="0.25">
      <c r="A658" s="105">
        <f t="shared" si="174"/>
        <v>636</v>
      </c>
      <c r="B658" s="106">
        <f t="shared" si="170"/>
        <v>176</v>
      </c>
      <c r="C658" s="53" t="s">
        <v>108</v>
      </c>
      <c r="D658" s="53" t="s">
        <v>624</v>
      </c>
      <c r="E658" s="54">
        <v>1972</v>
      </c>
      <c r="F658" s="54">
        <v>2013</v>
      </c>
      <c r="G658" s="54" t="s">
        <v>64</v>
      </c>
      <c r="H658" s="54">
        <v>4</v>
      </c>
      <c r="I658" s="54">
        <v>4</v>
      </c>
      <c r="J658" s="55">
        <v>4697.3599999999997</v>
      </c>
      <c r="K658" s="55">
        <v>3448.5</v>
      </c>
      <c r="L658" s="55">
        <v>0</v>
      </c>
      <c r="M658" s="56">
        <v>140</v>
      </c>
      <c r="N658" s="112">
        <v>1535156.89</v>
      </c>
      <c r="O658" s="55"/>
      <c r="P658" s="63"/>
      <c r="Q658" s="63"/>
      <c r="R658" s="62">
        <v>1535156.89</v>
      </c>
      <c r="S658" s="63"/>
      <c r="T658" s="63"/>
      <c r="U658" s="55">
        <v>445.16656346507199</v>
      </c>
      <c r="V658" s="55">
        <v>445.16656346507199</v>
      </c>
      <c r="W658" s="59">
        <v>2024</v>
      </c>
      <c r="X658" s="6" t="e">
        <v>#REF!</v>
      </c>
      <c r="Y658" s="1" t="s">
        <v>625</v>
      </c>
      <c r="Z658" s="62">
        <f t="shared" si="179"/>
        <v>10605893.634176001</v>
      </c>
      <c r="AA658" s="55">
        <v>0</v>
      </c>
      <c r="AB658" s="55">
        <v>0</v>
      </c>
      <c r="AC658" s="55">
        <v>0</v>
      </c>
      <c r="AD658" s="55">
        <v>0</v>
      </c>
      <c r="AE658" s="55">
        <v>1356649.13</v>
      </c>
      <c r="AF658" s="55"/>
      <c r="AG658" s="55">
        <v>0</v>
      </c>
      <c r="AH658" s="55">
        <v>0</v>
      </c>
      <c r="AI658" s="55">
        <v>0</v>
      </c>
      <c r="AJ658" s="55">
        <v>0</v>
      </c>
      <c r="AK658" s="55">
        <v>0</v>
      </c>
      <c r="AL658" s="55">
        <v>7865518.9895666996</v>
      </c>
      <c r="AM658" s="55">
        <v>1112408.5149999999</v>
      </c>
      <c r="AN658" s="63">
        <v>92809.235499999995</v>
      </c>
      <c r="AO658" s="64">
        <v>178507.76410930001</v>
      </c>
      <c r="AP658" s="61">
        <f>+N658-'Приложение №2'!E658</f>
        <v>-4.1092999745160341E-3</v>
      </c>
      <c r="AQ658" s="1">
        <v>1644538</v>
      </c>
      <c r="AR658" s="3">
        <f>+(K658*10+L658*20)*12*0.85</f>
        <v>351747</v>
      </c>
      <c r="AS658" s="3">
        <f>+(K658*10+L658*20)*12*30</f>
        <v>12414600</v>
      </c>
      <c r="AT658" s="6">
        <f t="shared" si="178"/>
        <v>-12414600</v>
      </c>
      <c r="AU658" s="6" t="e">
        <v>#REF!</v>
      </c>
      <c r="AV658" s="6" t="e">
        <v>#REF!</v>
      </c>
      <c r="AW658" s="62">
        <f t="shared" si="172"/>
        <v>1535156.8941092999</v>
      </c>
      <c r="AX658" s="55">
        <v>0</v>
      </c>
      <c r="AY658" s="55">
        <v>0</v>
      </c>
      <c r="AZ658" s="55">
        <v>0</v>
      </c>
      <c r="BA658" s="55">
        <v>0</v>
      </c>
      <c r="BB658" s="55">
        <v>1356649.13</v>
      </c>
      <c r="BC658" s="55"/>
      <c r="BD658" s="55"/>
      <c r="BE658" s="55">
        <v>0</v>
      </c>
      <c r="BF658" s="55">
        <v>0</v>
      </c>
      <c r="BG658" s="55">
        <v>0</v>
      </c>
      <c r="BH658" s="55">
        <v>0</v>
      </c>
      <c r="BI658" s="55"/>
      <c r="BJ658" s="55"/>
      <c r="BK658" s="63"/>
      <c r="BL658" s="111">
        <v>178507.76410930001</v>
      </c>
      <c r="BM658" s="62">
        <f t="shared" si="173"/>
        <v>1535156.8941092999</v>
      </c>
      <c r="BN658" s="55">
        <v>0</v>
      </c>
      <c r="BO658" s="55">
        <v>0</v>
      </c>
      <c r="BP658" s="55">
        <v>0</v>
      </c>
      <c r="BQ658" s="55">
        <v>0</v>
      </c>
      <c r="BR658" s="55">
        <v>1356649.13</v>
      </c>
      <c r="BS658" s="55"/>
      <c r="BT658" s="55"/>
      <c r="BU658" s="55">
        <v>0</v>
      </c>
      <c r="BV658" s="55">
        <v>0</v>
      </c>
      <c r="BW658" s="55">
        <v>0</v>
      </c>
      <c r="BX658" s="55">
        <v>0</v>
      </c>
      <c r="BY658" s="55"/>
      <c r="BZ658" s="55"/>
      <c r="CA658" s="63"/>
      <c r="CB658" s="64">
        <v>178507.76410930001</v>
      </c>
      <c r="CD658" s="75"/>
      <c r="CE658" s="6"/>
    </row>
    <row r="659" spans="1:84" x14ac:dyDescent="0.25">
      <c r="A659" s="105">
        <f t="shared" si="174"/>
        <v>637</v>
      </c>
      <c r="B659" s="106">
        <f t="shared" si="170"/>
        <v>177</v>
      </c>
      <c r="C659" s="107" t="s">
        <v>108</v>
      </c>
      <c r="D659" s="107" t="s">
        <v>364</v>
      </c>
      <c r="E659" s="128">
        <v>1972</v>
      </c>
      <c r="F659" s="128">
        <v>2013</v>
      </c>
      <c r="G659" s="128" t="s">
        <v>64</v>
      </c>
      <c r="H659" s="128">
        <v>4</v>
      </c>
      <c r="I659" s="128">
        <v>4</v>
      </c>
      <c r="J659" s="63">
        <v>4681.66</v>
      </c>
      <c r="K659" s="63">
        <v>3441.2</v>
      </c>
      <c r="L659" s="63">
        <v>0</v>
      </c>
      <c r="M659" s="129">
        <v>142</v>
      </c>
      <c r="N659" s="108">
        <v>8007344.6699999999</v>
      </c>
      <c r="O659" s="63"/>
      <c r="P659" s="63"/>
      <c r="Q659" s="63"/>
      <c r="R659" s="62">
        <v>955930.54</v>
      </c>
      <c r="S659" s="62">
        <v>7051414.1299999999</v>
      </c>
      <c r="T659" s="63"/>
      <c r="U659" s="63">
        <v>2326.9047605997898</v>
      </c>
      <c r="V659" s="63">
        <v>1312.2830200640001</v>
      </c>
      <c r="W659" s="59">
        <v>2024</v>
      </c>
      <c r="X659" s="6" t="e">
        <v>#REF!</v>
      </c>
      <c r="Z659" s="62">
        <f t="shared" si="179"/>
        <v>10554632.254175998</v>
      </c>
      <c r="AA659" s="55">
        <v>0</v>
      </c>
      <c r="AB659" s="55">
        <v>0</v>
      </c>
      <c r="AC659" s="55">
        <v>0</v>
      </c>
      <c r="AD659" s="55">
        <v>0</v>
      </c>
      <c r="AE659" s="55">
        <v>1346569.54</v>
      </c>
      <c r="AF659" s="55"/>
      <c r="AG659" s="55">
        <v>0</v>
      </c>
      <c r="AH659" s="55">
        <v>0</v>
      </c>
      <c r="AI659" s="55">
        <v>0</v>
      </c>
      <c r="AJ659" s="55">
        <v>0</v>
      </c>
      <c r="AK659" s="55">
        <v>0</v>
      </c>
      <c r="AL659" s="55">
        <v>7829891.4404087998</v>
      </c>
      <c r="AM659" s="55">
        <v>1108317.8799999999</v>
      </c>
      <c r="AN659" s="63">
        <v>92400.172000000006</v>
      </c>
      <c r="AO659" s="64">
        <v>177453.22176720001</v>
      </c>
      <c r="AP659" s="61">
        <f>+N659-'Приложение №2'!E659</f>
        <v>7.8239999711513519E-3</v>
      </c>
      <c r="AQ659" s="6">
        <f>2007272.49-R289</f>
        <v>587378.01582399989</v>
      </c>
      <c r="AR659" s="3">
        <f>+(K659*10.5+L659*21)*12*0.85</f>
        <v>368552.51999999996</v>
      </c>
      <c r="AS659" s="3">
        <f>+(K659*10.5+L659*21)*12*30-S289</f>
        <v>13007735.999999998</v>
      </c>
      <c r="AT659" s="6">
        <f t="shared" si="178"/>
        <v>-5956321.8699999982</v>
      </c>
      <c r="AU659" s="6" t="e">
        <v>#REF!</v>
      </c>
      <c r="AV659" s="6" t="e">
        <v>#REF!</v>
      </c>
      <c r="AW659" s="110">
        <f t="shared" si="172"/>
        <v>8007344.662176</v>
      </c>
      <c r="AX659" s="55">
        <v>0</v>
      </c>
      <c r="AY659" s="55">
        <v>0</v>
      </c>
      <c r="AZ659" s="55">
        <v>0</v>
      </c>
      <c r="BA659" s="55">
        <v>0</v>
      </c>
      <c r="BB659" s="55"/>
      <c r="BC659" s="55"/>
      <c r="BD659" s="55"/>
      <c r="BE659" s="55">
        <v>0</v>
      </c>
      <c r="BF659" s="55">
        <v>0</v>
      </c>
      <c r="BG659" s="55">
        <v>0</v>
      </c>
      <c r="BH659" s="55">
        <v>0</v>
      </c>
      <c r="BI659" s="55">
        <v>7829891.4404087998</v>
      </c>
      <c r="BJ659" s="55"/>
      <c r="BK659" s="63"/>
      <c r="BL659" s="64">
        <v>177453.22176720001</v>
      </c>
      <c r="BM659" s="110">
        <f t="shared" si="173"/>
        <v>8007344.662176</v>
      </c>
      <c r="BN659" s="55">
        <v>0</v>
      </c>
      <c r="BO659" s="55">
        <v>0</v>
      </c>
      <c r="BP659" s="55">
        <v>0</v>
      </c>
      <c r="BQ659" s="55">
        <v>0</v>
      </c>
      <c r="BR659" s="55"/>
      <c r="BS659" s="55"/>
      <c r="BT659" s="55"/>
      <c r="BU659" s="55">
        <v>0</v>
      </c>
      <c r="BV659" s="55">
        <v>0</v>
      </c>
      <c r="BW659" s="55">
        <v>0</v>
      </c>
      <c r="BX659" s="55">
        <v>0</v>
      </c>
      <c r="BY659" s="55">
        <v>7829891.4404087998</v>
      </c>
      <c r="BZ659" s="55"/>
      <c r="CA659" s="63"/>
      <c r="CB659" s="64">
        <v>177453.22176720001</v>
      </c>
      <c r="CD659" s="75"/>
      <c r="CE659" s="6"/>
    </row>
    <row r="660" spans="1:84" x14ac:dyDescent="0.25">
      <c r="A660" s="105">
        <f t="shared" si="174"/>
        <v>638</v>
      </c>
      <c r="B660" s="106">
        <f t="shared" si="170"/>
        <v>178</v>
      </c>
      <c r="C660" s="107" t="s">
        <v>108</v>
      </c>
      <c r="D660" s="107" t="s">
        <v>626</v>
      </c>
      <c r="E660" s="128">
        <v>1988</v>
      </c>
      <c r="F660" s="128">
        <v>1988</v>
      </c>
      <c r="G660" s="128" t="s">
        <v>64</v>
      </c>
      <c r="H660" s="128">
        <v>4</v>
      </c>
      <c r="I660" s="128">
        <v>3</v>
      </c>
      <c r="J660" s="63">
        <v>2941.3</v>
      </c>
      <c r="K660" s="63">
        <v>2307</v>
      </c>
      <c r="L660" s="63">
        <v>634.29999999999995</v>
      </c>
      <c r="M660" s="129">
        <v>71</v>
      </c>
      <c r="N660" s="108">
        <v>23161870.379999999</v>
      </c>
      <c r="O660" s="63"/>
      <c r="P660" s="63"/>
      <c r="Q660" s="63"/>
      <c r="R660" s="62">
        <v>2507036.5499999998</v>
      </c>
      <c r="S660" s="62">
        <v>13515768</v>
      </c>
      <c r="T660" s="62">
        <v>7139065.8300000001</v>
      </c>
      <c r="U660" s="63">
        <v>10044.9793563069</v>
      </c>
      <c r="V660" s="63">
        <v>1313.2830200640001</v>
      </c>
      <c r="W660" s="59">
        <v>2024</v>
      </c>
      <c r="X660" s="6" t="e">
        <v>#REF!</v>
      </c>
      <c r="Z660" s="62">
        <f t="shared" si="179"/>
        <v>5881515.5900000026</v>
      </c>
      <c r="AA660" s="55">
        <v>0</v>
      </c>
      <c r="AB660" s="55">
        <v>0</v>
      </c>
      <c r="AC660" s="55">
        <v>0</v>
      </c>
      <c r="AD660" s="55">
        <v>0</v>
      </c>
      <c r="AE660" s="55">
        <v>0</v>
      </c>
      <c r="AF660" s="55"/>
      <c r="AG660" s="55">
        <v>0</v>
      </c>
      <c r="AH660" s="55">
        <v>0</v>
      </c>
      <c r="AI660" s="55">
        <v>0</v>
      </c>
      <c r="AJ660" s="55">
        <v>0</v>
      </c>
      <c r="AK660" s="55">
        <v>5547799.1585906697</v>
      </c>
      <c r="AL660" s="55">
        <v>0</v>
      </c>
      <c r="AM660" s="55">
        <v>176500.30000340601</v>
      </c>
      <c r="AN660" s="55">
        <v>35897</v>
      </c>
      <c r="AO660" s="64">
        <v>121319.13140592699</v>
      </c>
      <c r="AP660" s="61">
        <f>+N660-'Приложение №2'!E660</f>
        <v>4.9999691545963287E-3</v>
      </c>
      <c r="AQ660" s="65">
        <v>2124089.79</v>
      </c>
      <c r="AR660" s="3">
        <f>+(K660*10.5+L660*21)*12*0.85</f>
        <v>382946.76</v>
      </c>
      <c r="AS660" s="3">
        <f>+(K660*10.5+L660*21)*12*30</f>
        <v>13515768.000000002</v>
      </c>
      <c r="AT660" s="6">
        <f t="shared" si="178"/>
        <v>0</v>
      </c>
      <c r="AU660" s="6" t="e">
        <v>#REF!</v>
      </c>
      <c r="AV660" s="6" t="e">
        <v>#REF!</v>
      </c>
      <c r="AW660" s="110">
        <f t="shared" si="172"/>
        <v>23173767.37500003</v>
      </c>
      <c r="AX660" s="55">
        <v>0</v>
      </c>
      <c r="AY660" s="55">
        <v>0</v>
      </c>
      <c r="AZ660" s="55">
        <v>0</v>
      </c>
      <c r="BA660" s="55">
        <v>0</v>
      </c>
      <c r="BB660" s="55">
        <v>0</v>
      </c>
      <c r="BC660" s="55"/>
      <c r="BD660" s="55"/>
      <c r="BE660" s="55">
        <v>0</v>
      </c>
      <c r="BF660" s="55">
        <v>0</v>
      </c>
      <c r="BG660" s="55">
        <v>0</v>
      </c>
      <c r="BH660" s="55">
        <v>22469996.755391698</v>
      </c>
      <c r="BI660" s="55">
        <v>0</v>
      </c>
      <c r="BJ660" s="55">
        <v>176500.30000340601</v>
      </c>
      <c r="BK660" s="55">
        <v>35897</v>
      </c>
      <c r="BL660" s="64">
        <v>491373.31960492698</v>
      </c>
      <c r="BM660" s="110">
        <f t="shared" si="173"/>
        <v>23173767.37500003</v>
      </c>
      <c r="BN660" s="55">
        <v>0</v>
      </c>
      <c r="BO660" s="55">
        <v>0</v>
      </c>
      <c r="BP660" s="55">
        <v>0</v>
      </c>
      <c r="BQ660" s="55">
        <v>0</v>
      </c>
      <c r="BR660" s="55">
        <v>0</v>
      </c>
      <c r="BS660" s="55"/>
      <c r="BT660" s="55"/>
      <c r="BU660" s="55">
        <v>0</v>
      </c>
      <c r="BV660" s="55">
        <v>0</v>
      </c>
      <c r="BW660" s="55">
        <v>0</v>
      </c>
      <c r="BX660" s="55">
        <v>22469996.755391698</v>
      </c>
      <c r="BY660" s="55">
        <v>0</v>
      </c>
      <c r="BZ660" s="55">
        <v>176500.30000340601</v>
      </c>
      <c r="CA660" s="55">
        <v>35897</v>
      </c>
      <c r="CB660" s="64">
        <v>491373.31960492698</v>
      </c>
      <c r="CD660" s="75"/>
      <c r="CE660" s="6"/>
      <c r="CF660" s="6"/>
    </row>
    <row r="661" spans="1:84" s="69" customFormat="1" x14ac:dyDescent="0.25">
      <c r="A661" s="105">
        <f t="shared" si="174"/>
        <v>639</v>
      </c>
      <c r="B661" s="106">
        <f t="shared" si="170"/>
        <v>179</v>
      </c>
      <c r="C661" s="107" t="s">
        <v>108</v>
      </c>
      <c r="D661" s="107" t="s">
        <v>369</v>
      </c>
      <c r="E661" s="128" t="s">
        <v>370</v>
      </c>
      <c r="F661" s="128"/>
      <c r="G661" s="128" t="s">
        <v>64</v>
      </c>
      <c r="H661" s="128" t="s">
        <v>101</v>
      </c>
      <c r="I661" s="128" t="s">
        <v>125</v>
      </c>
      <c r="J661" s="63">
        <v>7651.5</v>
      </c>
      <c r="K661" s="63">
        <v>6138</v>
      </c>
      <c r="L661" s="63">
        <v>119</v>
      </c>
      <c r="M661" s="129">
        <v>293</v>
      </c>
      <c r="N661" s="108">
        <v>32751772.309999999</v>
      </c>
      <c r="O661" s="63">
        <v>0</v>
      </c>
      <c r="P661" s="62">
        <v>6301433.5800000001</v>
      </c>
      <c r="Q661" s="63"/>
      <c r="R661" s="62">
        <v>1118133.3899999999</v>
      </c>
      <c r="S661" s="62">
        <v>10780820.42</v>
      </c>
      <c r="T661" s="62">
        <v>14551384.92</v>
      </c>
      <c r="U661" s="63">
        <v>5118.14134739371</v>
      </c>
      <c r="V661" s="63">
        <v>5118.14134739371</v>
      </c>
      <c r="W661" s="59">
        <v>2024</v>
      </c>
      <c r="X661" s="69">
        <v>2205585.94</v>
      </c>
      <c r="Y661" s="69">
        <f>+(K661*9.1+L661*18.19)*12</f>
        <v>696244.91999999993</v>
      </c>
      <c r="AA661" s="70" t="e">
        <v>#REF!</v>
      </c>
      <c r="AD661" s="70" t="e">
        <v>#REF!</v>
      </c>
      <c r="AP661" s="61">
        <f>+N661-'Приложение №2'!E661</f>
        <v>-1.2940764427185059E-3</v>
      </c>
      <c r="AQ661" s="114">
        <f>2725811.3-R298</f>
        <v>2466030.787142857</v>
      </c>
      <c r="AR661" s="3">
        <f>+(K661*10+L661*20)*12*0.85</f>
        <v>650352</v>
      </c>
      <c r="AS661" s="3">
        <f>+(K661*10+L661*20)*12*30-S298</f>
        <v>18657194.51545006</v>
      </c>
      <c r="AT661" s="6">
        <f t="shared" si="178"/>
        <v>-7876374.0954500604</v>
      </c>
      <c r="AU661" s="6" t="e">
        <v>#REF!</v>
      </c>
      <c r="AV661" s="6" t="e">
        <v>#REF!</v>
      </c>
      <c r="AW661" s="62">
        <f t="shared" si="172"/>
        <v>32024210.410642475</v>
      </c>
      <c r="AX661" s="55">
        <v>16034044.1521801</v>
      </c>
      <c r="AY661" s="55">
        <v>5691851.8389192801</v>
      </c>
      <c r="AZ661" s="55"/>
      <c r="BA661" s="55">
        <v>5790873.0293484004</v>
      </c>
      <c r="BB661" s="55">
        <v>2792950.7234944901</v>
      </c>
      <c r="BC661" s="55"/>
      <c r="BD661" s="55">
        <v>582245.94929312496</v>
      </c>
      <c r="BE661" s="55"/>
      <c r="BF661" s="55"/>
      <c r="BG661" s="55"/>
      <c r="BH661" s="7"/>
      <c r="BI661" s="55"/>
      <c r="BJ661" s="55"/>
      <c r="BK661" s="63"/>
      <c r="BL661" s="64">
        <v>1132244.7174070801</v>
      </c>
      <c r="BM661" s="62">
        <f t="shared" si="173"/>
        <v>32024210.410642475</v>
      </c>
      <c r="BN661" s="55">
        <v>16034044.1521801</v>
      </c>
      <c r="BO661" s="55">
        <v>5691851.8389192801</v>
      </c>
      <c r="BP661" s="55"/>
      <c r="BQ661" s="55">
        <v>5790873.0293484004</v>
      </c>
      <c r="BR661" s="55">
        <v>2792950.7234944901</v>
      </c>
      <c r="BS661" s="55"/>
      <c r="BT661" s="55">
        <v>582245.94929312496</v>
      </c>
      <c r="BU661" s="55"/>
      <c r="BV661" s="55"/>
      <c r="BW661" s="55"/>
      <c r="BX661" s="7"/>
      <c r="BY661" s="55"/>
      <c r="BZ661" s="55"/>
      <c r="CA661" s="63"/>
      <c r="CB661" s="64">
        <v>1132244.7174070801</v>
      </c>
      <c r="CD661" s="75"/>
      <c r="CE661" s="179"/>
    </row>
    <row r="662" spans="1:84" x14ac:dyDescent="0.25">
      <c r="A662" s="105">
        <f t="shared" si="174"/>
        <v>640</v>
      </c>
      <c r="B662" s="106">
        <f t="shared" si="170"/>
        <v>180</v>
      </c>
      <c r="C662" s="107" t="s">
        <v>108</v>
      </c>
      <c r="D662" s="107" t="s">
        <v>176</v>
      </c>
      <c r="E662" s="54">
        <v>1975</v>
      </c>
      <c r="F662" s="54">
        <v>2013</v>
      </c>
      <c r="G662" s="54" t="s">
        <v>64</v>
      </c>
      <c r="H662" s="54">
        <v>4</v>
      </c>
      <c r="I662" s="54">
        <v>4</v>
      </c>
      <c r="J662" s="55">
        <v>2912.6</v>
      </c>
      <c r="K662" s="55">
        <v>2004.3</v>
      </c>
      <c r="L662" s="55">
        <v>902.2</v>
      </c>
      <c r="M662" s="56">
        <v>104</v>
      </c>
      <c r="N662" s="108">
        <v>13927210.199999999</v>
      </c>
      <c r="O662" s="63"/>
      <c r="P662" s="62">
        <v>1207773.04</v>
      </c>
      <c r="Q662" s="63"/>
      <c r="R662" s="62">
        <v>1920435.6</v>
      </c>
      <c r="S662" s="62">
        <v>10799001.560000001</v>
      </c>
      <c r="T662" s="63"/>
      <c r="U662" s="55">
        <v>7493.7221680113998</v>
      </c>
      <c r="V662" s="55">
        <v>7493.7221680113998</v>
      </c>
      <c r="W662" s="59">
        <v>2024</v>
      </c>
      <c r="X662" s="6" t="e">
        <v>#REF!</v>
      </c>
      <c r="Z662" s="62">
        <f>SUM(AA662:AO662)</f>
        <v>33480583.039703999</v>
      </c>
      <c r="AA662" s="55">
        <v>4910426.6191344</v>
      </c>
      <c r="AB662" s="55">
        <v>1749786.8763320399</v>
      </c>
      <c r="AC662" s="55">
        <v>1828137.9504292801</v>
      </c>
      <c r="AD662" s="55">
        <v>1144529.9445770399</v>
      </c>
      <c r="AE662" s="55">
        <v>818458.35</v>
      </c>
      <c r="AF662" s="55"/>
      <c r="AG662" s="55">
        <v>188426.5127934</v>
      </c>
      <c r="AH662" s="55">
        <v>0</v>
      </c>
      <c r="AI662" s="55">
        <v>8977006.9994345997</v>
      </c>
      <c r="AJ662" s="55">
        <v>0</v>
      </c>
      <c r="AK662" s="55">
        <v>4660903.59852558</v>
      </c>
      <c r="AL662" s="55">
        <v>5027330.1025222801</v>
      </c>
      <c r="AM662" s="55">
        <v>3221989.0268000001</v>
      </c>
      <c r="AN662" s="63">
        <v>327170.53649999999</v>
      </c>
      <c r="AO662" s="64">
        <v>626416.52265537996</v>
      </c>
      <c r="AP662" s="61">
        <f>+N662-'Приложение №2'!E661</f>
        <v>-18824562.111294076</v>
      </c>
      <c r="AQ662" s="1">
        <v>1936703.42</v>
      </c>
      <c r="AR662" s="3">
        <f>+(K662*10+L662*20)*12*0.85</f>
        <v>388487.39999999997</v>
      </c>
      <c r="AS662" s="3">
        <f>+(K662*10+L662*20)*12*30</f>
        <v>13711320</v>
      </c>
      <c r="AT662" s="6">
        <f t="shared" si="178"/>
        <v>-2912318.4399999995</v>
      </c>
      <c r="AU662" s="6" t="e">
        <v>#REF!</v>
      </c>
      <c r="AV662" s="6" t="e">
        <v>#REF!</v>
      </c>
      <c r="AW662" s="62">
        <f t="shared" si="172"/>
        <v>21780503.481325135</v>
      </c>
      <c r="AX662" s="55">
        <v>6939356.6437431397</v>
      </c>
      <c r="AY662" s="55">
        <v>0</v>
      </c>
      <c r="AZ662" s="55">
        <v>0</v>
      </c>
      <c r="BA662" s="55">
        <v>0</v>
      </c>
      <c r="BB662" s="55">
        <v>818458.35</v>
      </c>
      <c r="BC662" s="55"/>
      <c r="BD662" s="55">
        <v>266268.26596902299</v>
      </c>
      <c r="BE662" s="55">
        <v>0</v>
      </c>
      <c r="BF662" s="55">
        <v>6490827.1100000003</v>
      </c>
      <c r="BG662" s="55">
        <v>0</v>
      </c>
      <c r="BH662" s="55">
        <v>0</v>
      </c>
      <c r="BI662" s="55">
        <v>7104547.2889906801</v>
      </c>
      <c r="BJ662" s="55"/>
      <c r="BK662" s="63"/>
      <c r="BL662" s="111">
        <v>161045.82262229201</v>
      </c>
      <c r="BM662" s="62">
        <f t="shared" si="173"/>
        <v>22658967.491325133</v>
      </c>
      <c r="BN662" s="55">
        <v>6939356.6437431397</v>
      </c>
      <c r="BO662" s="55">
        <v>0</v>
      </c>
      <c r="BP662" s="55">
        <v>0</v>
      </c>
      <c r="BQ662" s="55">
        <v>0</v>
      </c>
      <c r="BR662" s="55">
        <v>818458.35</v>
      </c>
      <c r="BS662" s="55"/>
      <c r="BT662" s="55">
        <v>266268.26596902299</v>
      </c>
      <c r="BU662" s="55">
        <v>0</v>
      </c>
      <c r="BV662" s="55">
        <v>7369291.1200000001</v>
      </c>
      <c r="BW662" s="55">
        <v>0</v>
      </c>
      <c r="BX662" s="55">
        <v>0</v>
      </c>
      <c r="BY662" s="55">
        <v>7104547.2889906801</v>
      </c>
      <c r="BZ662" s="55"/>
      <c r="CA662" s="63"/>
      <c r="CB662" s="64">
        <v>161045.82262229201</v>
      </c>
      <c r="CD662" s="75"/>
      <c r="CE662" s="6"/>
    </row>
    <row r="663" spans="1:84" x14ac:dyDescent="0.25">
      <c r="A663" s="105">
        <f t="shared" si="174"/>
        <v>641</v>
      </c>
      <c r="B663" s="106">
        <f t="shared" si="170"/>
        <v>181</v>
      </c>
      <c r="C663" s="107" t="s">
        <v>108</v>
      </c>
      <c r="D663" s="107" t="s">
        <v>177</v>
      </c>
      <c r="E663" s="128">
        <v>1993</v>
      </c>
      <c r="F663" s="128">
        <v>2013</v>
      </c>
      <c r="G663" s="128" t="s">
        <v>64</v>
      </c>
      <c r="H663" s="128">
        <v>5</v>
      </c>
      <c r="I663" s="128">
        <v>2</v>
      </c>
      <c r="J663" s="63">
        <v>2382.6999999999998</v>
      </c>
      <c r="K663" s="63">
        <v>2177.75</v>
      </c>
      <c r="L663" s="63">
        <v>0</v>
      </c>
      <c r="M663" s="129">
        <v>103</v>
      </c>
      <c r="N663" s="108">
        <v>1600397.11</v>
      </c>
      <c r="O663" s="63"/>
      <c r="P663" s="63"/>
      <c r="Q663" s="63"/>
      <c r="R663" s="62">
        <v>685437.15</v>
      </c>
      <c r="S663" s="62">
        <v>534041.63</v>
      </c>
      <c r="T663" s="62">
        <v>380918.33</v>
      </c>
      <c r="U663" s="63">
        <v>828.97747675353003</v>
      </c>
      <c r="V663" s="63">
        <v>1316.2830200640001</v>
      </c>
      <c r="W663" s="59">
        <v>2024</v>
      </c>
      <c r="X663" s="6" t="e">
        <v>#REF!</v>
      </c>
      <c r="Z663" s="62">
        <f>SUM(AA663:AO663)</f>
        <v>1112857.6800000002</v>
      </c>
      <c r="AA663" s="55">
        <v>0</v>
      </c>
      <c r="AB663" s="55">
        <v>0</v>
      </c>
      <c r="AC663" s="55">
        <v>0</v>
      </c>
      <c r="AD663" s="55">
        <v>0</v>
      </c>
      <c r="AE663" s="55">
        <v>974016.82475999999</v>
      </c>
      <c r="AF663" s="55"/>
      <c r="AG663" s="55">
        <v>0</v>
      </c>
      <c r="AH663" s="55">
        <v>0</v>
      </c>
      <c r="AI663" s="55">
        <v>0</v>
      </c>
      <c r="AJ663" s="55">
        <v>0</v>
      </c>
      <c r="AK663" s="55">
        <v>0</v>
      </c>
      <c r="AL663" s="55">
        <v>0</v>
      </c>
      <c r="AM663" s="55">
        <v>89216.27</v>
      </c>
      <c r="AN663" s="55">
        <v>28324.81</v>
      </c>
      <c r="AO663" s="64">
        <v>21299.775239999999</v>
      </c>
      <c r="AP663" s="61">
        <f>+N663-'Приложение №2'!E663</f>
        <v>4.7600001562386751E-3</v>
      </c>
      <c r="AQ663" s="65">
        <f>1276512.2-R118</f>
        <v>524922.96</v>
      </c>
      <c r="AR663" s="3">
        <f>+(K663*10.5+L663*21)*12*0.85</f>
        <v>233237.02499999999</v>
      </c>
      <c r="AS663" s="3">
        <f>+(K663*10.5+L663*21)*12*30-S118</f>
        <v>534041.62833730038</v>
      </c>
      <c r="AT663" s="6">
        <f t="shared" si="178"/>
        <v>1.6626996221020818E-3</v>
      </c>
      <c r="AU663" s="6" t="e">
        <v>#REF!</v>
      </c>
      <c r="AV663" s="6" t="e">
        <v>#REF!</v>
      </c>
      <c r="AW663" s="110">
        <f t="shared" si="172"/>
        <v>5091660.7599999988</v>
      </c>
      <c r="AX663" s="55">
        <v>3286355.06</v>
      </c>
      <c r="AY663" s="55">
        <v>0</v>
      </c>
      <c r="AZ663" s="55">
        <v>0</v>
      </c>
      <c r="BA663" s="55">
        <v>0</v>
      </c>
      <c r="BB663" s="55">
        <v>974016.82475999999</v>
      </c>
      <c r="BC663" s="55"/>
      <c r="BD663" s="55"/>
      <c r="BE663" s="55">
        <v>0</v>
      </c>
      <c r="BF663" s="55">
        <v>0</v>
      </c>
      <c r="BG663" s="55">
        <v>0</v>
      </c>
      <c r="BH663" s="55">
        <v>0</v>
      </c>
      <c r="BI663" s="55">
        <v>0</v>
      </c>
      <c r="BJ663" s="55">
        <f>113216.27+157569.7</f>
        <v>270785.97000000003</v>
      </c>
      <c r="BK663" s="55">
        <f>28324.81+24000</f>
        <v>52324.81</v>
      </c>
      <c r="BL663" s="64">
        <f>21299.77524+486878.32</f>
        <v>508178.09524</v>
      </c>
      <c r="BM663" s="110">
        <f t="shared" si="173"/>
        <v>1805305.7</v>
      </c>
      <c r="BN663" s="55"/>
      <c r="BO663" s="55">
        <v>0</v>
      </c>
      <c r="BP663" s="55">
        <v>0</v>
      </c>
      <c r="BQ663" s="55">
        <v>0</v>
      </c>
      <c r="BR663" s="55">
        <v>974016.82475999999</v>
      </c>
      <c r="BS663" s="55"/>
      <c r="BT663" s="55"/>
      <c r="BU663" s="55">
        <v>0</v>
      </c>
      <c r="BV663" s="55">
        <v>0</v>
      </c>
      <c r="BW663" s="55">
        <v>0</v>
      </c>
      <c r="BX663" s="55">
        <v>0</v>
      </c>
      <c r="BY663" s="55">
        <v>0</v>
      </c>
      <c r="BZ663" s="55">
        <f>113216.27+157569.7</f>
        <v>270785.97000000003</v>
      </c>
      <c r="CA663" s="55">
        <f>28324.81+24000</f>
        <v>52324.81</v>
      </c>
      <c r="CB663" s="64">
        <f>21299.77524+486878.32</f>
        <v>508178.09524</v>
      </c>
      <c r="CD663" s="75"/>
      <c r="CE663" s="6"/>
      <c r="CF663" s="6"/>
    </row>
    <row r="664" spans="1:84" x14ac:dyDescent="0.25">
      <c r="A664" s="105">
        <f t="shared" si="174"/>
        <v>642</v>
      </c>
      <c r="B664" s="106">
        <f t="shared" si="170"/>
        <v>182</v>
      </c>
      <c r="C664" s="107" t="s">
        <v>108</v>
      </c>
      <c r="D664" s="107" t="s">
        <v>627</v>
      </c>
      <c r="E664" s="128">
        <v>1968</v>
      </c>
      <c r="F664" s="128">
        <v>2013</v>
      </c>
      <c r="G664" s="128" t="s">
        <v>64</v>
      </c>
      <c r="H664" s="128">
        <v>4</v>
      </c>
      <c r="I664" s="128">
        <v>4</v>
      </c>
      <c r="J664" s="63">
        <v>2661.8</v>
      </c>
      <c r="K664" s="63">
        <v>2457.1999999999998</v>
      </c>
      <c r="L664" s="63">
        <v>0</v>
      </c>
      <c r="M664" s="129">
        <v>113</v>
      </c>
      <c r="N664" s="108">
        <v>2355834.59</v>
      </c>
      <c r="O664" s="63"/>
      <c r="P664" s="63"/>
      <c r="Q664" s="63"/>
      <c r="R664" s="62">
        <v>1515531.92</v>
      </c>
      <c r="S664" s="62">
        <v>840302.67</v>
      </c>
      <c r="T664" s="63"/>
      <c r="U664" s="63">
        <v>1032.4538068003501</v>
      </c>
      <c r="V664" s="63">
        <v>1317.2830200640001</v>
      </c>
      <c r="W664" s="59">
        <v>2024</v>
      </c>
      <c r="X664" s="6" t="e">
        <v>#REF!</v>
      </c>
      <c r="Z664" s="62">
        <f>SUM(AA664:AO664)</f>
        <v>3827984.7964527896</v>
      </c>
      <c r="AA664" s="55">
        <v>0</v>
      </c>
      <c r="AB664" s="55">
        <v>2230881.5159207899</v>
      </c>
      <c r="AC664" s="55">
        <v>0</v>
      </c>
      <c r="AD664" s="55">
        <v>0</v>
      </c>
      <c r="AE664" s="55">
        <v>1122695.9924880001</v>
      </c>
      <c r="AF664" s="55"/>
      <c r="AG664" s="55">
        <v>226983.177624</v>
      </c>
      <c r="AH664" s="55">
        <v>0</v>
      </c>
      <c r="AI664" s="55">
        <v>0</v>
      </c>
      <c r="AJ664" s="55">
        <v>0</v>
      </c>
      <c r="AK664" s="55">
        <v>0</v>
      </c>
      <c r="AL664" s="55">
        <v>0</v>
      </c>
      <c r="AM664" s="55">
        <v>128061.95</v>
      </c>
      <c r="AN664" s="55">
        <v>41062.550000000003</v>
      </c>
      <c r="AO664" s="64">
        <v>78299.610419999997</v>
      </c>
      <c r="AP664" s="61">
        <f>+N664-'Приложение №2'!E664</f>
        <v>-7.6698297634720802E-3</v>
      </c>
      <c r="AQ664" s="1">
        <v>1433476.7</v>
      </c>
      <c r="AR664" s="3">
        <f>+(K664*10.5+L664*21)*12*0.85</f>
        <v>263166.11999999994</v>
      </c>
      <c r="AS664" s="3">
        <f>+(K664*10.5+L664*21)*12*30</f>
        <v>9288215.9999999981</v>
      </c>
      <c r="AT664" s="6">
        <f t="shared" si="178"/>
        <v>-8447913.3299999982</v>
      </c>
      <c r="AU664" s="6" t="e">
        <v>#REF!</v>
      </c>
      <c r="AV664" s="6" t="e">
        <v>#REF!</v>
      </c>
      <c r="AW664" s="110">
        <f t="shared" si="172"/>
        <v>2536945.4940698296</v>
      </c>
      <c r="AX664" s="55">
        <v>0</v>
      </c>
      <c r="AY664" s="55">
        <v>2230881.5159207899</v>
      </c>
      <c r="AZ664" s="55">
        <v>0</v>
      </c>
      <c r="BA664" s="55">
        <v>0</v>
      </c>
      <c r="BB664" s="55"/>
      <c r="BC664" s="55"/>
      <c r="BD664" s="55"/>
      <c r="BE664" s="55">
        <v>0</v>
      </c>
      <c r="BF664" s="55">
        <v>0</v>
      </c>
      <c r="BG664" s="55">
        <v>0</v>
      </c>
      <c r="BH664" s="55">
        <v>0</v>
      </c>
      <c r="BI664" s="55">
        <v>0</v>
      </c>
      <c r="BJ664" s="55">
        <v>237174.32399999999</v>
      </c>
      <c r="BK664" s="55">
        <v>23717.432400000002</v>
      </c>
      <c r="BL664" s="64">
        <v>45172.22174904</v>
      </c>
      <c r="BM664" s="110">
        <f t="shared" si="173"/>
        <v>2536945.4940698296</v>
      </c>
      <c r="BN664" s="55">
        <v>0</v>
      </c>
      <c r="BO664" s="55">
        <v>2230881.5159207899</v>
      </c>
      <c r="BP664" s="55">
        <v>0</v>
      </c>
      <c r="BQ664" s="55">
        <v>0</v>
      </c>
      <c r="BR664" s="55"/>
      <c r="BS664" s="55"/>
      <c r="BT664" s="55"/>
      <c r="BU664" s="55">
        <v>0</v>
      </c>
      <c r="BV664" s="55">
        <v>0</v>
      </c>
      <c r="BW664" s="55">
        <v>0</v>
      </c>
      <c r="BX664" s="55">
        <v>0</v>
      </c>
      <c r="BY664" s="55">
        <v>0</v>
      </c>
      <c r="BZ664" s="55">
        <v>237174.32399999999</v>
      </c>
      <c r="CA664" s="55">
        <v>23717.432400000002</v>
      </c>
      <c r="CB664" s="64">
        <v>45172.22174904</v>
      </c>
      <c r="CD664" s="75"/>
      <c r="CE664" s="6"/>
      <c r="CF664" s="6"/>
    </row>
    <row r="665" spans="1:84" x14ac:dyDescent="0.25">
      <c r="A665" s="105">
        <f t="shared" si="174"/>
        <v>643</v>
      </c>
      <c r="B665" s="106">
        <f t="shared" si="170"/>
        <v>183</v>
      </c>
      <c r="C665" s="53" t="s">
        <v>108</v>
      </c>
      <c r="D665" s="53" t="s">
        <v>628</v>
      </c>
      <c r="E665" s="54">
        <v>1984</v>
      </c>
      <c r="F665" s="54">
        <v>1984</v>
      </c>
      <c r="G665" s="54" t="s">
        <v>64</v>
      </c>
      <c r="H665" s="54">
        <v>5</v>
      </c>
      <c r="I665" s="54">
        <v>6</v>
      </c>
      <c r="J665" s="55">
        <v>7096.75</v>
      </c>
      <c r="K665" s="55">
        <v>6228.7</v>
      </c>
      <c r="L665" s="55">
        <v>0</v>
      </c>
      <c r="M665" s="56">
        <v>298</v>
      </c>
      <c r="N665" s="112">
        <v>16015618.41</v>
      </c>
      <c r="O665" s="55"/>
      <c r="P665" s="63"/>
      <c r="Q665" s="63"/>
      <c r="R665" s="62">
        <v>3618454.07</v>
      </c>
      <c r="S665" s="62">
        <v>12397164.34</v>
      </c>
      <c r="T665" s="63"/>
      <c r="U665" s="55">
        <v>2571.26180583428</v>
      </c>
      <c r="V665" s="55">
        <v>2571.26180583428</v>
      </c>
      <c r="W665" s="59">
        <v>2024</v>
      </c>
      <c r="X665" s="6" t="e">
        <v>#REF!</v>
      </c>
      <c r="Z665" s="62">
        <f>SUM(AA665:AO665)</f>
        <v>16247767.72999998</v>
      </c>
      <c r="AA665" s="55">
        <v>0</v>
      </c>
      <c r="AB665" s="55">
        <v>0</v>
      </c>
      <c r="AC665" s="55">
        <v>0</v>
      </c>
      <c r="AD665" s="55">
        <v>0</v>
      </c>
      <c r="AE665" s="55">
        <v>0</v>
      </c>
      <c r="AF665" s="55"/>
      <c r="AG665" s="55">
        <v>0</v>
      </c>
      <c r="AH665" s="55">
        <v>0</v>
      </c>
      <c r="AI665" s="55">
        <v>0</v>
      </c>
      <c r="AJ665" s="55">
        <v>0</v>
      </c>
      <c r="AK665" s="55">
        <v>0</v>
      </c>
      <c r="AL665" s="55">
        <v>14151058.295514399</v>
      </c>
      <c r="AM665" s="55">
        <v>1624776.773</v>
      </c>
      <c r="AN665" s="63">
        <v>162477.67730000001</v>
      </c>
      <c r="AO665" s="64">
        <v>309454.98418557999</v>
      </c>
      <c r="AP665" s="61">
        <f>+N665-'Приложение №2'!E665</f>
        <v>0</v>
      </c>
      <c r="AQ665" s="1">
        <v>2983126.67</v>
      </c>
      <c r="AR665" s="3">
        <f>+(K665*10+L665*20)*12*0.85</f>
        <v>635327.4</v>
      </c>
      <c r="AS665" s="3">
        <f>+(K665*10+L665*20)*12*30</f>
        <v>22423320</v>
      </c>
      <c r="AT665" s="6">
        <f t="shared" si="178"/>
        <v>-10026155.66</v>
      </c>
      <c r="AU665" s="6" t="e">
        <v>#REF!</v>
      </c>
      <c r="AV665" s="6" t="e">
        <v>#REF!</v>
      </c>
      <c r="AW665" s="62">
        <f t="shared" si="172"/>
        <v>16015618.41</v>
      </c>
      <c r="AX665" s="55">
        <v>0</v>
      </c>
      <c r="AY665" s="55">
        <v>0</v>
      </c>
      <c r="AZ665" s="55">
        <v>0</v>
      </c>
      <c r="BA665" s="55">
        <v>0</v>
      </c>
      <c r="BB665" s="55">
        <v>0</v>
      </c>
      <c r="BC665" s="55"/>
      <c r="BD665" s="55"/>
      <c r="BE665" s="55">
        <v>0</v>
      </c>
      <c r="BF665" s="55">
        <v>0</v>
      </c>
      <c r="BG665" s="55">
        <v>0</v>
      </c>
      <c r="BH665" s="55">
        <v>0</v>
      </c>
      <c r="BI665" s="55">
        <v>15672884.176026</v>
      </c>
      <c r="BJ665" s="55"/>
      <c r="BK665" s="63"/>
      <c r="BL665" s="111">
        <v>342734.23397399997</v>
      </c>
      <c r="BM665" s="62">
        <f t="shared" si="173"/>
        <v>16015618.41</v>
      </c>
      <c r="BN665" s="55">
        <v>0</v>
      </c>
      <c r="BO665" s="55">
        <v>0</v>
      </c>
      <c r="BP665" s="55">
        <v>0</v>
      </c>
      <c r="BQ665" s="55">
        <v>0</v>
      </c>
      <c r="BR665" s="55">
        <v>0</v>
      </c>
      <c r="BS665" s="55"/>
      <c r="BT665" s="55"/>
      <c r="BU665" s="55">
        <v>0</v>
      </c>
      <c r="BV665" s="55">
        <v>0</v>
      </c>
      <c r="BW665" s="55">
        <v>0</v>
      </c>
      <c r="BX665" s="55">
        <v>0</v>
      </c>
      <c r="BY665" s="55">
        <v>15672884.176026</v>
      </c>
      <c r="BZ665" s="55"/>
      <c r="CA665" s="63"/>
      <c r="CB665" s="64">
        <v>342734.23397399997</v>
      </c>
      <c r="CD665" s="75"/>
      <c r="CE665" s="6"/>
    </row>
    <row r="666" spans="1:84" x14ac:dyDescent="0.25">
      <c r="A666" s="105">
        <f t="shared" si="174"/>
        <v>644</v>
      </c>
      <c r="B666" s="106">
        <f t="shared" ref="B666:B729" si="180">+B665+1</f>
        <v>184</v>
      </c>
      <c r="C666" s="107" t="s">
        <v>108</v>
      </c>
      <c r="D666" s="107" t="s">
        <v>373</v>
      </c>
      <c r="E666" s="54">
        <v>1973</v>
      </c>
      <c r="F666" s="54">
        <v>2011</v>
      </c>
      <c r="G666" s="54" t="s">
        <v>64</v>
      </c>
      <c r="H666" s="54">
        <v>5</v>
      </c>
      <c r="I666" s="54">
        <v>4</v>
      </c>
      <c r="J666" s="55">
        <v>3343.7</v>
      </c>
      <c r="K666" s="55">
        <v>3061.9</v>
      </c>
      <c r="L666" s="55">
        <v>0</v>
      </c>
      <c r="M666" s="56">
        <v>160</v>
      </c>
      <c r="N666" s="108">
        <v>2899508.12</v>
      </c>
      <c r="O666" s="63"/>
      <c r="P666" s="63"/>
      <c r="Q666" s="63"/>
      <c r="R666" s="62">
        <v>312313.8</v>
      </c>
      <c r="S666" s="62">
        <v>1708151.1</v>
      </c>
      <c r="T666" s="62">
        <v>879043.22</v>
      </c>
      <c r="U666" s="55">
        <v>5206.53421589557</v>
      </c>
      <c r="V666" s="55">
        <v>5206.53421589557</v>
      </c>
      <c r="W666" s="59">
        <v>2024</v>
      </c>
      <c r="X666" s="6" t="e">
        <v>#REF!</v>
      </c>
      <c r="Z666" s="62">
        <f>SUM(AA666:AO666)</f>
        <v>26291754.259999998</v>
      </c>
      <c r="AA666" s="55">
        <v>0</v>
      </c>
      <c r="AB666" s="55">
        <v>0</v>
      </c>
      <c r="AC666" s="55">
        <v>2724296.20082046</v>
      </c>
      <c r="AD666" s="55">
        <v>0</v>
      </c>
      <c r="AE666" s="55">
        <v>0</v>
      </c>
      <c r="AF666" s="55"/>
      <c r="AG666" s="55">
        <v>0</v>
      </c>
      <c r="AH666" s="55">
        <v>0</v>
      </c>
      <c r="AI666" s="55">
        <v>13377560.538169799</v>
      </c>
      <c r="AJ666" s="55">
        <v>0</v>
      </c>
      <c r="AK666" s="55">
        <v>6945691.3623090005</v>
      </c>
      <c r="AL666" s="55">
        <v>0</v>
      </c>
      <c r="AM666" s="55">
        <v>2477285.4183</v>
      </c>
      <c r="AN666" s="63">
        <v>262917.54259999999</v>
      </c>
      <c r="AO666" s="64">
        <v>504003.19780074002</v>
      </c>
      <c r="AP666" s="61">
        <f>+N666-'Приложение №2'!E666</f>
        <v>-4.8302002251148224E-3</v>
      </c>
      <c r="AQ666" s="1">
        <v>1384488.01</v>
      </c>
      <c r="AR666" s="3">
        <f>+(K666*10+L666*20)*12*0.85</f>
        <v>312313.8</v>
      </c>
      <c r="AS666" s="3">
        <f>+(K666*10+L666*20)*12*30</f>
        <v>11022840</v>
      </c>
      <c r="AT666" s="6">
        <f t="shared" si="178"/>
        <v>-9314688.9000000004</v>
      </c>
      <c r="AU666" s="6" t="e">
        <v>#REF!</v>
      </c>
      <c r="AV666" s="6" t="e">
        <v>#REF!</v>
      </c>
      <c r="AW666" s="62">
        <f t="shared" si="172"/>
        <v>16196844.68565066</v>
      </c>
      <c r="AX666" s="55">
        <v>0</v>
      </c>
      <c r="AY666" s="55">
        <v>0</v>
      </c>
      <c r="AZ666" s="55">
        <v>2724296.20082046</v>
      </c>
      <c r="BA666" s="55">
        <v>0</v>
      </c>
      <c r="BB666" s="55">
        <v>0</v>
      </c>
      <c r="BC666" s="55"/>
      <c r="BD666" s="55"/>
      <c r="BE666" s="55">
        <v>0</v>
      </c>
      <c r="BF666" s="55">
        <v>13180008.33</v>
      </c>
      <c r="BG666" s="55">
        <v>0</v>
      </c>
      <c r="BH666" s="55"/>
      <c r="BI666" s="55">
        <v>0</v>
      </c>
      <c r="BJ666" s="55"/>
      <c r="BK666" s="63"/>
      <c r="BL666" s="111">
        <v>292540.15483020002</v>
      </c>
      <c r="BM666" s="62">
        <f t="shared" si="173"/>
        <v>15941887.115650659</v>
      </c>
      <c r="BN666" s="55">
        <v>0</v>
      </c>
      <c r="BO666" s="55">
        <v>0</v>
      </c>
      <c r="BP666" s="55">
        <v>2724296.20082046</v>
      </c>
      <c r="BQ666" s="55">
        <v>0</v>
      </c>
      <c r="BR666" s="55">
        <v>0</v>
      </c>
      <c r="BS666" s="55"/>
      <c r="BT666" s="55"/>
      <c r="BU666" s="55">
        <v>0</v>
      </c>
      <c r="BV666" s="55">
        <v>12925050.76</v>
      </c>
      <c r="BW666" s="55">
        <v>0</v>
      </c>
      <c r="BX666" s="55"/>
      <c r="BY666" s="55">
        <v>0</v>
      </c>
      <c r="BZ666" s="55"/>
      <c r="CA666" s="63"/>
      <c r="CB666" s="64">
        <v>292540.15483020002</v>
      </c>
      <c r="CD666" s="75"/>
      <c r="CE666" s="6"/>
    </row>
    <row r="667" spans="1:84" s="69" customFormat="1" x14ac:dyDescent="0.25">
      <c r="A667" s="105">
        <f t="shared" si="174"/>
        <v>645</v>
      </c>
      <c r="B667" s="106">
        <f t="shared" si="180"/>
        <v>185</v>
      </c>
      <c r="C667" s="107" t="s">
        <v>181</v>
      </c>
      <c r="D667" s="107" t="s">
        <v>629</v>
      </c>
      <c r="E667" s="128" t="s">
        <v>303</v>
      </c>
      <c r="F667" s="128"/>
      <c r="G667" s="128" t="s">
        <v>64</v>
      </c>
      <c r="H667" s="128" t="s">
        <v>101</v>
      </c>
      <c r="I667" s="128" t="s">
        <v>184</v>
      </c>
      <c r="J667" s="63">
        <v>4845.3999999999996</v>
      </c>
      <c r="K667" s="63">
        <v>4280.6000000000004</v>
      </c>
      <c r="L667" s="63">
        <v>0</v>
      </c>
      <c r="M667" s="129">
        <v>179</v>
      </c>
      <c r="N667" s="108">
        <v>2143633.36</v>
      </c>
      <c r="O667" s="63">
        <v>0</v>
      </c>
      <c r="P667" s="63"/>
      <c r="Q667" s="63"/>
      <c r="R667" s="62">
        <v>2143633.36</v>
      </c>
      <c r="S667" s="63"/>
      <c r="T667" s="63"/>
      <c r="U667" s="63">
        <v>460.27107691071302</v>
      </c>
      <c r="V667" s="63">
        <v>1319.2830200640001</v>
      </c>
      <c r="W667" s="59">
        <v>2024</v>
      </c>
      <c r="X667" s="69">
        <v>1666495.72</v>
      </c>
      <c r="Y667" s="69">
        <f>+(K667*9.1+L667*18.19)*12</f>
        <v>467441.52</v>
      </c>
      <c r="AA667" s="70" t="e">
        <v>#REF!</v>
      </c>
      <c r="AD667" s="70" t="e">
        <v>#REF!</v>
      </c>
      <c r="AP667" s="61">
        <f>+N667-'Приложение №2'!E667</f>
        <v>3.2089664600789547E-3</v>
      </c>
      <c r="AQ667" s="65">
        <v>2537481.14</v>
      </c>
      <c r="AR667" s="3">
        <f>+(K667*10.5+L667*21)*12*0.85</f>
        <v>458452.26000000007</v>
      </c>
      <c r="AS667" s="3">
        <f>+(K667*10.5+L667*21)*12*30</f>
        <v>16180668.000000004</v>
      </c>
      <c r="AT667" s="6">
        <f t="shared" si="178"/>
        <v>-16180668.000000004</v>
      </c>
      <c r="AU667" s="6" t="e">
        <v>#REF!</v>
      </c>
      <c r="AV667" s="6" t="e">
        <v>#REF!</v>
      </c>
      <c r="AW667" s="110">
        <f t="shared" si="172"/>
        <v>1970236.3718240035</v>
      </c>
      <c r="AX667" s="55"/>
      <c r="AY667" s="55"/>
      <c r="AZ667" s="55"/>
      <c r="BA667" s="55"/>
      <c r="BB667" s="55">
        <v>1671863.41503297</v>
      </c>
      <c r="BC667" s="55"/>
      <c r="BD667" s="55"/>
      <c r="BE667" s="55"/>
      <c r="BF667" s="55"/>
      <c r="BG667" s="55"/>
      <c r="BH667" s="55"/>
      <c r="BI667" s="55"/>
      <c r="BJ667" s="55">
        <v>261812.69</v>
      </c>
      <c r="BK667" s="63"/>
      <c r="BL667" s="64">
        <v>36560.266791033602</v>
      </c>
      <c r="BM667" s="110">
        <f t="shared" si="173"/>
        <v>1970236.3718240035</v>
      </c>
      <c r="BN667" s="55"/>
      <c r="BO667" s="55"/>
      <c r="BP667" s="55"/>
      <c r="BQ667" s="55"/>
      <c r="BR667" s="55">
        <v>1671863.41503297</v>
      </c>
      <c r="BS667" s="55"/>
      <c r="BT667" s="55"/>
      <c r="BU667" s="55"/>
      <c r="BV667" s="55"/>
      <c r="BW667" s="55"/>
      <c r="BX667" s="55"/>
      <c r="BY667" s="55"/>
      <c r="BZ667" s="55">
        <v>261812.69</v>
      </c>
      <c r="CA667" s="63"/>
      <c r="CB667" s="64">
        <v>36560.266791033602</v>
      </c>
      <c r="CD667" s="75"/>
      <c r="CE667" s="6"/>
    </row>
    <row r="668" spans="1:84" s="69" customFormat="1" x14ac:dyDescent="0.25">
      <c r="A668" s="105">
        <f t="shared" si="174"/>
        <v>646</v>
      </c>
      <c r="B668" s="106">
        <f t="shared" si="180"/>
        <v>186</v>
      </c>
      <c r="C668" s="107" t="s">
        <v>620</v>
      </c>
      <c r="D668" s="107" t="s">
        <v>630</v>
      </c>
      <c r="E668" s="128" t="s">
        <v>122</v>
      </c>
      <c r="F668" s="128"/>
      <c r="G668" s="128" t="s">
        <v>64</v>
      </c>
      <c r="H668" s="128" t="s">
        <v>123</v>
      </c>
      <c r="I668" s="128" t="s">
        <v>102</v>
      </c>
      <c r="J668" s="63">
        <v>6086.8</v>
      </c>
      <c r="K668" s="63">
        <v>4850.1000000000004</v>
      </c>
      <c r="L668" s="63">
        <v>66.400000000000006</v>
      </c>
      <c r="M668" s="129">
        <v>164</v>
      </c>
      <c r="N668" s="108">
        <v>7182720</v>
      </c>
      <c r="O668" s="63">
        <v>0</v>
      </c>
      <c r="P668" s="62">
        <v>3904301.2</v>
      </c>
      <c r="Q668" s="63"/>
      <c r="R668" s="62">
        <v>3278418.8</v>
      </c>
      <c r="S668" s="178"/>
      <c r="T668" s="178"/>
      <c r="U668" s="63">
        <v>1480.9426609760601</v>
      </c>
      <c r="V668" s="63">
        <v>1320.2830200640001</v>
      </c>
      <c r="W668" s="59">
        <v>2024</v>
      </c>
      <c r="Y668" s="69">
        <f>+(K668*12.08+L668*20.47)*12</f>
        <v>719380.99200000009</v>
      </c>
      <c r="AA668" s="70" t="e">
        <v>#REF!</v>
      </c>
      <c r="AD668" s="70" t="e">
        <v>#REF!</v>
      </c>
      <c r="AP668" s="61">
        <f>+N668-'Приложение №2'!E668</f>
        <v>0</v>
      </c>
      <c r="AR668" s="3">
        <f>+(K668*13.95+L668*23.65)*12*0.85</f>
        <v>706138.40100000007</v>
      </c>
      <c r="AS668" s="3">
        <f>+(K668*13.95+L668*23.65)*12*30</f>
        <v>24922531.800000001</v>
      </c>
      <c r="AT668" s="6">
        <f t="shared" si="178"/>
        <v>-24922531.800000001</v>
      </c>
      <c r="AU668" s="6" t="e">
        <v>#REF!</v>
      </c>
      <c r="AV668" s="6" t="e">
        <v>#REF!</v>
      </c>
      <c r="AW668" s="110">
        <f t="shared" si="172"/>
        <v>7182719.9999999972</v>
      </c>
      <c r="AX668" s="55"/>
      <c r="AY668" s="55"/>
      <c r="AZ668" s="55"/>
      <c r="BA668" s="55"/>
      <c r="BB668" s="55"/>
      <c r="BC668" s="55"/>
      <c r="BD668" s="55"/>
      <c r="BE668" s="55">
        <v>6868490.3575085597</v>
      </c>
      <c r="BF668" s="55"/>
      <c r="BG668" s="55"/>
      <c r="BH668" s="55"/>
      <c r="BI668" s="55"/>
      <c r="BJ668" s="55">
        <v>140029.66941696001</v>
      </c>
      <c r="BK668" s="63">
        <v>24000</v>
      </c>
      <c r="BL668" s="64">
        <v>150199.97307447699</v>
      </c>
      <c r="BM668" s="110">
        <f t="shared" si="173"/>
        <v>7182719.9999999972</v>
      </c>
      <c r="BN668" s="55"/>
      <c r="BO668" s="55"/>
      <c r="BP668" s="55"/>
      <c r="BQ668" s="55"/>
      <c r="BR668" s="55"/>
      <c r="BS668" s="55"/>
      <c r="BT668" s="55"/>
      <c r="BU668" s="55">
        <v>6868490.3575085597</v>
      </c>
      <c r="BV668" s="55"/>
      <c r="BW668" s="55"/>
      <c r="BX668" s="55"/>
      <c r="BY668" s="55"/>
      <c r="BZ668" s="55">
        <v>140029.66941696001</v>
      </c>
      <c r="CA668" s="63">
        <v>24000</v>
      </c>
      <c r="CB668" s="64">
        <v>150199.97307447699</v>
      </c>
      <c r="CD668" s="75"/>
      <c r="CE668" s="6"/>
    </row>
    <row r="669" spans="1:84" s="69" customFormat="1" x14ac:dyDescent="0.25">
      <c r="A669" s="105">
        <f t="shared" si="174"/>
        <v>647</v>
      </c>
      <c r="B669" s="106">
        <f t="shared" si="180"/>
        <v>187</v>
      </c>
      <c r="C669" s="107" t="s">
        <v>181</v>
      </c>
      <c r="D669" s="107" t="s">
        <v>375</v>
      </c>
      <c r="E669" s="128" t="s">
        <v>338</v>
      </c>
      <c r="F669" s="128"/>
      <c r="G669" s="128" t="s">
        <v>64</v>
      </c>
      <c r="H669" s="128" t="s">
        <v>184</v>
      </c>
      <c r="I669" s="128" t="s">
        <v>145</v>
      </c>
      <c r="J669" s="63">
        <v>3411.7</v>
      </c>
      <c r="K669" s="63">
        <v>2190.6999999999998</v>
      </c>
      <c r="L669" s="63">
        <v>1221</v>
      </c>
      <c r="M669" s="129">
        <v>86</v>
      </c>
      <c r="N669" s="108">
        <v>1894725.36</v>
      </c>
      <c r="O669" s="63">
        <v>0</v>
      </c>
      <c r="P669" s="63"/>
      <c r="Q669" s="63"/>
      <c r="R669" s="62">
        <v>987905.22</v>
      </c>
      <c r="S669" s="62">
        <v>906820.14</v>
      </c>
      <c r="T669" s="63"/>
      <c r="U669" s="63">
        <v>3056.5054562096302</v>
      </c>
      <c r="V669" s="63">
        <v>1322.2830200640001</v>
      </c>
      <c r="W669" s="59">
        <v>2024</v>
      </c>
      <c r="X669" s="69">
        <v>1858783.44</v>
      </c>
      <c r="Y669" s="69">
        <f>+(K669*9.1+L669*18.19)*12</f>
        <v>505744.32</v>
      </c>
      <c r="AA669" s="70" t="e">
        <v>#REF!</v>
      </c>
      <c r="AD669" s="70" t="e">
        <v>#REF!</v>
      </c>
      <c r="AP669" s="61">
        <f>+N669-'Приложение №2'!E669</f>
        <v>-1.2069919612258673E-3</v>
      </c>
      <c r="AQ669" s="65">
        <v>2892323.62</v>
      </c>
      <c r="AR669" s="3">
        <f t="shared" ref="AR669:AR675" si="181">+(K669*10.5+L669*21)*12*0.85</f>
        <v>496162.16999999993</v>
      </c>
      <c r="AS669" s="3">
        <f>+(K669*10.5+L669*21)*12*30</f>
        <v>17511606</v>
      </c>
      <c r="AT669" s="6">
        <f t="shared" si="178"/>
        <v>-16604785.859999999</v>
      </c>
      <c r="AU669" s="6" t="e">
        <v>#REF!</v>
      </c>
      <c r="AV669" s="6" t="e">
        <v>#REF!</v>
      </c>
      <c r="AW669" s="110">
        <f t="shared" si="172"/>
        <v>6695886.5029184232</v>
      </c>
      <c r="AX669" s="55"/>
      <c r="AY669" s="55">
        <v>2902577.0561398701</v>
      </c>
      <c r="AZ669" s="55"/>
      <c r="BA669" s="55">
        <v>1898584.0855715601</v>
      </c>
      <c r="BB669" s="55">
        <v>1161613.02606813</v>
      </c>
      <c r="BC669" s="55"/>
      <c r="BD669" s="55"/>
      <c r="BE669" s="55">
        <v>0</v>
      </c>
      <c r="BF669" s="55">
        <v>0</v>
      </c>
      <c r="BG669" s="55">
        <v>0</v>
      </c>
      <c r="BH669" s="55"/>
      <c r="BI669" s="55"/>
      <c r="BJ669" s="55"/>
      <c r="BK669" s="63"/>
      <c r="BL669" s="64">
        <v>733112.33513886202</v>
      </c>
      <c r="BM669" s="110">
        <f t="shared" si="173"/>
        <v>6695886.5029184232</v>
      </c>
      <c r="BN669" s="55"/>
      <c r="BO669" s="55">
        <v>2902577.0561398701</v>
      </c>
      <c r="BP669" s="55"/>
      <c r="BQ669" s="55">
        <v>1898584.0855715601</v>
      </c>
      <c r="BR669" s="55">
        <v>1161613.02606813</v>
      </c>
      <c r="BS669" s="55"/>
      <c r="BT669" s="55"/>
      <c r="BU669" s="55">
        <v>0</v>
      </c>
      <c r="BV669" s="55">
        <v>0</v>
      </c>
      <c r="BW669" s="55">
        <v>0</v>
      </c>
      <c r="BX669" s="55"/>
      <c r="BY669" s="55"/>
      <c r="BZ669" s="55"/>
      <c r="CA669" s="63"/>
      <c r="CB669" s="64">
        <v>733112.33513886202</v>
      </c>
      <c r="CD669" s="75"/>
      <c r="CE669" s="6"/>
    </row>
    <row r="670" spans="1:84" s="69" customFormat="1" x14ac:dyDescent="0.25">
      <c r="A670" s="105">
        <f t="shared" si="174"/>
        <v>648</v>
      </c>
      <c r="B670" s="106">
        <f t="shared" si="180"/>
        <v>188</v>
      </c>
      <c r="C670" s="107" t="s">
        <v>181</v>
      </c>
      <c r="D670" s="107" t="s">
        <v>376</v>
      </c>
      <c r="E670" s="128" t="s">
        <v>377</v>
      </c>
      <c r="F670" s="128"/>
      <c r="G670" s="128" t="s">
        <v>64</v>
      </c>
      <c r="H670" s="128" t="s">
        <v>184</v>
      </c>
      <c r="I670" s="128" t="s">
        <v>125</v>
      </c>
      <c r="J670" s="63">
        <v>5051.1899999999996</v>
      </c>
      <c r="K670" s="63">
        <v>4630.8</v>
      </c>
      <c r="L670" s="63">
        <v>0</v>
      </c>
      <c r="M670" s="129">
        <v>233</v>
      </c>
      <c r="N670" s="108">
        <v>64353399.859999999</v>
      </c>
      <c r="O670" s="63">
        <v>0</v>
      </c>
      <c r="P670" s="62">
        <v>11125815.4</v>
      </c>
      <c r="Q670" s="63"/>
      <c r="R670" s="62">
        <v>495958.68</v>
      </c>
      <c r="S670" s="63"/>
      <c r="T670" s="62">
        <v>52731625.780000001</v>
      </c>
      <c r="U670" s="63">
        <v>13629.8191357263</v>
      </c>
      <c r="V670" s="63">
        <v>1323.2830200640001</v>
      </c>
      <c r="W670" s="59">
        <v>2024</v>
      </c>
      <c r="X670" s="69">
        <v>1795085.95</v>
      </c>
      <c r="Y670" s="69">
        <f>+(K670*9.1+L670*18.19)*12</f>
        <v>505683.36</v>
      </c>
      <c r="AA670" s="70" t="e">
        <v>#REF!</v>
      </c>
      <c r="AD670" s="70" t="e">
        <v>#REF!</v>
      </c>
      <c r="AP670" s="61">
        <f>+N670-'Приложение №2'!E670</f>
        <v>-3.2509937882423401E-3</v>
      </c>
      <c r="AQ670" s="65">
        <f>2825636.52-R306</f>
        <v>1539069.56</v>
      </c>
      <c r="AR670" s="3">
        <f t="shared" si="181"/>
        <v>495958.68000000005</v>
      </c>
      <c r="AS670" s="3">
        <f>+(K670*10.5+L670*21)*12*30-S306</f>
        <v>8296404.6915723793</v>
      </c>
      <c r="AT670" s="6">
        <f t="shared" si="178"/>
        <v>-8296404.6915723793</v>
      </c>
      <c r="AU670" s="6" t="e">
        <v>#REF!</v>
      </c>
      <c r="AV670" s="6" t="e">
        <v>#REF!</v>
      </c>
      <c r="AW670" s="110">
        <f t="shared" si="172"/>
        <v>63116966.453721315</v>
      </c>
      <c r="AX670" s="55">
        <v>13148633.556306999</v>
      </c>
      <c r="AY670" s="55">
        <v>4192746.7065505302</v>
      </c>
      <c r="AZ670" s="55"/>
      <c r="BA670" s="55">
        <v>4285819.8536529597</v>
      </c>
      <c r="BB670" s="55">
        <v>2055716.94206696</v>
      </c>
      <c r="BC670" s="55"/>
      <c r="BD670" s="55">
        <v>504522.83066567697</v>
      </c>
      <c r="BE670" s="55"/>
      <c r="BF670" s="55"/>
      <c r="BG670" s="55"/>
      <c r="BH670" s="55">
        <v>31776683.094386999</v>
      </c>
      <c r="BI670" s="55"/>
      <c r="BJ670" s="55">
        <v>5496977.6636125296</v>
      </c>
      <c r="BK670" s="63">
        <v>568685.02805103804</v>
      </c>
      <c r="BL670" s="64">
        <v>1087180.77842762</v>
      </c>
      <c r="BM670" s="110">
        <f t="shared" si="173"/>
        <v>63116966.453721315</v>
      </c>
      <c r="BN670" s="55">
        <v>13148633.556306999</v>
      </c>
      <c r="BO670" s="55">
        <v>4192746.7065505302</v>
      </c>
      <c r="BP670" s="55"/>
      <c r="BQ670" s="55">
        <v>4285819.8536529597</v>
      </c>
      <c r="BR670" s="55">
        <v>2055716.94206696</v>
      </c>
      <c r="BS670" s="55"/>
      <c r="BT670" s="55">
        <v>504522.83066567697</v>
      </c>
      <c r="BU670" s="55"/>
      <c r="BV670" s="55"/>
      <c r="BW670" s="55"/>
      <c r="BX670" s="55">
        <v>31776683.094386999</v>
      </c>
      <c r="BY670" s="55"/>
      <c r="BZ670" s="55">
        <v>5496977.6636125296</v>
      </c>
      <c r="CA670" s="63">
        <v>568685.02805103804</v>
      </c>
      <c r="CB670" s="64">
        <v>1087180.77842762</v>
      </c>
      <c r="CD670" s="75"/>
      <c r="CE670" s="6"/>
      <c r="CF670" s="116"/>
    </row>
    <row r="671" spans="1:84" x14ac:dyDescent="0.25">
      <c r="A671" s="105">
        <f t="shared" si="174"/>
        <v>649</v>
      </c>
      <c r="B671" s="106">
        <f t="shared" si="180"/>
        <v>189</v>
      </c>
      <c r="C671" s="107" t="s">
        <v>108</v>
      </c>
      <c r="D671" s="107" t="s">
        <v>178</v>
      </c>
      <c r="E671" s="128">
        <v>1966</v>
      </c>
      <c r="F671" s="128">
        <v>2013</v>
      </c>
      <c r="G671" s="128" t="s">
        <v>64</v>
      </c>
      <c r="H671" s="128">
        <v>4</v>
      </c>
      <c r="I671" s="128">
        <v>6</v>
      </c>
      <c r="J671" s="63">
        <v>2829.5</v>
      </c>
      <c r="K671" s="63">
        <v>2537.8000000000002</v>
      </c>
      <c r="L671" s="63">
        <v>230.6</v>
      </c>
      <c r="M671" s="129">
        <v>144</v>
      </c>
      <c r="N671" s="108">
        <v>24577617.239999998</v>
      </c>
      <c r="O671" s="63"/>
      <c r="P671" s="62">
        <v>942478.59</v>
      </c>
      <c r="Q671" s="63"/>
      <c r="R671" s="62">
        <v>321192.90000000002</v>
      </c>
      <c r="S671" s="62">
        <v>1764479.09</v>
      </c>
      <c r="T671" s="62">
        <v>21549466.66</v>
      </c>
      <c r="U671" s="63">
        <v>10013.2315696325</v>
      </c>
      <c r="V671" s="63">
        <v>1324.2830200640001</v>
      </c>
      <c r="W671" s="59">
        <v>2024</v>
      </c>
      <c r="X671" s="6" t="e">
        <v>#REF!</v>
      </c>
      <c r="Z671" s="62">
        <f>SUM(AA671:AO671)</f>
        <v>15087934.029999997</v>
      </c>
      <c r="AA671" s="55">
        <v>6065034.6402882598</v>
      </c>
      <c r="AB671" s="55">
        <v>2161221.1824524999</v>
      </c>
      <c r="AC671" s="55">
        <v>2257995.2503873799</v>
      </c>
      <c r="AD671" s="55">
        <v>1413647.7960217199</v>
      </c>
      <c r="AE671" s="55">
        <v>864921.32273358002</v>
      </c>
      <c r="AF671" s="55"/>
      <c r="AG671" s="55">
        <v>232731.98563608</v>
      </c>
      <c r="AH671" s="55">
        <v>0</v>
      </c>
      <c r="AI671" s="55">
        <v>0</v>
      </c>
      <c r="AJ671" s="55">
        <v>0</v>
      </c>
      <c r="AK671" s="55">
        <v>0</v>
      </c>
      <c r="AL671" s="55">
        <v>0</v>
      </c>
      <c r="AM671" s="55">
        <v>1657316.1065</v>
      </c>
      <c r="AN671" s="63">
        <v>150879.34030000001</v>
      </c>
      <c r="AO671" s="64">
        <v>284186.40568048001</v>
      </c>
      <c r="AP671" s="61">
        <f>+N671-'Приложение №2'!E671</f>
        <v>-3.7780255079269409E-3</v>
      </c>
      <c r="AQ671" s="73">
        <f>1632407.51-R307</f>
        <v>1123134.31</v>
      </c>
      <c r="AR671" s="3">
        <f t="shared" si="181"/>
        <v>321192.89999999997</v>
      </c>
      <c r="AS671" s="3">
        <f>+(K671*10.5+L671*21)*12*30-S307</f>
        <v>1704253.1862219796</v>
      </c>
      <c r="AT671" s="6">
        <f t="shared" si="178"/>
        <v>60225.903778020525</v>
      </c>
      <c r="AU671" s="6"/>
      <c r="AV671" s="6"/>
      <c r="AW671" s="110">
        <f t="shared" si="172"/>
        <v>25411579.077413462</v>
      </c>
      <c r="AX671" s="55"/>
      <c r="AY671" s="55">
        <v>1245773.46</v>
      </c>
      <c r="AZ671" s="55">
        <v>1202952.82</v>
      </c>
      <c r="BA671" s="55"/>
      <c r="BB671" s="55"/>
      <c r="BC671" s="55"/>
      <c r="BD671" s="55"/>
      <c r="BE671" s="55"/>
      <c r="BF671" s="55"/>
      <c r="BG671" s="55">
        <v>0</v>
      </c>
      <c r="BH671" s="55">
        <v>18996840.606051002</v>
      </c>
      <c r="BI671" s="55"/>
      <c r="BJ671" s="55">
        <v>2732058.4400660498</v>
      </c>
      <c r="BK671" s="63">
        <v>286925.44751838502</v>
      </c>
      <c r="BL671" s="64">
        <v>947028.30377802101</v>
      </c>
      <c r="BM671" s="110">
        <f t="shared" si="173"/>
        <v>25411579.077413462</v>
      </c>
      <c r="BN671" s="55"/>
      <c r="BO671" s="55">
        <v>1245773.46</v>
      </c>
      <c r="BP671" s="55">
        <v>1202952.82</v>
      </c>
      <c r="BQ671" s="55"/>
      <c r="BR671" s="55"/>
      <c r="BS671" s="55"/>
      <c r="BT671" s="55"/>
      <c r="BU671" s="55"/>
      <c r="BV671" s="55"/>
      <c r="BW671" s="55">
        <v>0</v>
      </c>
      <c r="BX671" s="55">
        <v>18996840.606051002</v>
      </c>
      <c r="BY671" s="55"/>
      <c r="BZ671" s="55">
        <v>2732058.4400660498</v>
      </c>
      <c r="CA671" s="63">
        <v>286925.44751838502</v>
      </c>
      <c r="CB671" s="64">
        <v>947028.30377802101</v>
      </c>
      <c r="CD671" s="75"/>
      <c r="CE671" s="6"/>
      <c r="CF671" s="117"/>
    </row>
    <row r="672" spans="1:84" s="69" customFormat="1" x14ac:dyDescent="0.25">
      <c r="A672" s="105">
        <f t="shared" si="174"/>
        <v>650</v>
      </c>
      <c r="B672" s="106">
        <f t="shared" si="180"/>
        <v>190</v>
      </c>
      <c r="C672" s="107" t="s">
        <v>181</v>
      </c>
      <c r="D672" s="107" t="s">
        <v>631</v>
      </c>
      <c r="E672" s="128" t="s">
        <v>433</v>
      </c>
      <c r="F672" s="128"/>
      <c r="G672" s="128" t="s">
        <v>64</v>
      </c>
      <c r="H672" s="128" t="s">
        <v>101</v>
      </c>
      <c r="I672" s="128" t="s">
        <v>184</v>
      </c>
      <c r="J672" s="63">
        <v>4290.1000000000004</v>
      </c>
      <c r="K672" s="63">
        <v>4045.8</v>
      </c>
      <c r="L672" s="63">
        <v>0</v>
      </c>
      <c r="M672" s="129">
        <v>160</v>
      </c>
      <c r="N672" s="108">
        <v>2036091.23</v>
      </c>
      <c r="O672" s="63">
        <v>0</v>
      </c>
      <c r="P672" s="63"/>
      <c r="Q672" s="63"/>
      <c r="R672" s="62">
        <v>2036091.23</v>
      </c>
      <c r="S672" s="63"/>
      <c r="T672" s="63"/>
      <c r="U672" s="63">
        <v>504.21507242078201</v>
      </c>
      <c r="V672" s="63">
        <v>1325.2830200640001</v>
      </c>
      <c r="W672" s="59">
        <v>2024</v>
      </c>
      <c r="X672" s="69">
        <v>1474610.12</v>
      </c>
      <c r="Y672" s="69">
        <f>+(K672*9.1+L672*18.19)*12</f>
        <v>441801.36</v>
      </c>
      <c r="AA672" s="70" t="e">
        <v>#REF!</v>
      </c>
      <c r="AD672" s="70" t="e">
        <v>#REF!</v>
      </c>
      <c r="AP672" s="61">
        <f>+N672-'Приложение №2'!E672</f>
        <v>3.5200268030166626E-4</v>
      </c>
      <c r="AQ672" s="65">
        <v>2307200.5499999998</v>
      </c>
      <c r="AR672" s="3">
        <f t="shared" si="181"/>
        <v>433305.18000000005</v>
      </c>
      <c r="AS672" s="3">
        <f>+(K672*10.5+L672*21)*12*30</f>
        <v>15293124.000000002</v>
      </c>
      <c r="AT672" s="6">
        <f t="shared" si="178"/>
        <v>-15293124.000000002</v>
      </c>
      <c r="AU672" s="6" t="e">
        <v>#REF!</v>
      </c>
      <c r="AV672" s="6" t="e">
        <v>#REF!</v>
      </c>
      <c r="AW672" s="110">
        <f t="shared" si="172"/>
        <v>2039953.3399999973</v>
      </c>
      <c r="AX672" s="55"/>
      <c r="AY672" s="55"/>
      <c r="AZ672" s="55"/>
      <c r="BA672" s="55"/>
      <c r="BB672" s="55">
        <v>1732566.2449115301</v>
      </c>
      <c r="BC672" s="55"/>
      <c r="BD672" s="55"/>
      <c r="BE672" s="55"/>
      <c r="BF672" s="55"/>
      <c r="BG672" s="55"/>
      <c r="BH672" s="55"/>
      <c r="BI672" s="55"/>
      <c r="BJ672" s="55">
        <v>245499.38035200001</v>
      </c>
      <c r="BK672" s="63">
        <v>24000</v>
      </c>
      <c r="BL672" s="64">
        <v>37887.714736467198</v>
      </c>
      <c r="BM672" s="110">
        <f t="shared" si="173"/>
        <v>2039953.3399999973</v>
      </c>
      <c r="BN672" s="55"/>
      <c r="BO672" s="55"/>
      <c r="BP672" s="55"/>
      <c r="BQ672" s="55"/>
      <c r="BR672" s="55">
        <v>1732566.2449115301</v>
      </c>
      <c r="BS672" s="55"/>
      <c r="BT672" s="55"/>
      <c r="BU672" s="55"/>
      <c r="BV672" s="55"/>
      <c r="BW672" s="55"/>
      <c r="BX672" s="55"/>
      <c r="BY672" s="55"/>
      <c r="BZ672" s="55">
        <v>245499.38035200001</v>
      </c>
      <c r="CA672" s="63">
        <v>24000</v>
      </c>
      <c r="CB672" s="64">
        <v>37887.714736467198</v>
      </c>
      <c r="CD672" s="75"/>
      <c r="CE672" s="6"/>
    </row>
    <row r="673" spans="1:84" s="69" customFormat="1" x14ac:dyDescent="0.25">
      <c r="A673" s="105">
        <f t="shared" si="174"/>
        <v>651</v>
      </c>
      <c r="B673" s="106">
        <f t="shared" si="180"/>
        <v>191</v>
      </c>
      <c r="C673" s="107" t="s">
        <v>181</v>
      </c>
      <c r="D673" s="107" t="s">
        <v>632</v>
      </c>
      <c r="E673" s="128" t="s">
        <v>633</v>
      </c>
      <c r="F673" s="128"/>
      <c r="G673" s="128" t="s">
        <v>64</v>
      </c>
      <c r="H673" s="128" t="s">
        <v>101</v>
      </c>
      <c r="I673" s="128" t="s">
        <v>184</v>
      </c>
      <c r="J673" s="63">
        <v>3196.5</v>
      </c>
      <c r="K673" s="63">
        <v>2451.1</v>
      </c>
      <c r="L673" s="63">
        <v>745</v>
      </c>
      <c r="M673" s="129">
        <v>156</v>
      </c>
      <c r="N673" s="108">
        <v>44600798.219999999</v>
      </c>
      <c r="O673" s="63">
        <v>0</v>
      </c>
      <c r="P673" s="62">
        <v>4540950.8</v>
      </c>
      <c r="Q673" s="63"/>
      <c r="R673" s="62">
        <v>2784032.97</v>
      </c>
      <c r="S673" s="62">
        <v>14897358</v>
      </c>
      <c r="T673" s="62">
        <v>22378456.449999999</v>
      </c>
      <c r="U673" s="63">
        <v>17522.516586926798</v>
      </c>
      <c r="V673" s="63">
        <v>1326.2830200640001</v>
      </c>
      <c r="W673" s="59">
        <v>2024</v>
      </c>
      <c r="X673" s="69">
        <v>1575459.5</v>
      </c>
      <c r="Y673" s="69">
        <f>+(K673*9.1+L673*18.19)*12</f>
        <v>430278.72</v>
      </c>
      <c r="AA673" s="70" t="e">
        <v>#REF!</v>
      </c>
      <c r="AD673" s="70" t="e">
        <v>#REF!</v>
      </c>
      <c r="AP673" s="61">
        <f>+N673-'Приложение №2'!E673</f>
        <v>5.3775086998939514E-3</v>
      </c>
      <c r="AQ673" s="65">
        <v>2361941.16</v>
      </c>
      <c r="AR673" s="3">
        <f t="shared" si="181"/>
        <v>422091.81</v>
      </c>
      <c r="AS673" s="3">
        <f>+(K673*10.5+L673*21)*12*30</f>
        <v>14897358.000000002</v>
      </c>
      <c r="AT673" s="6">
        <f t="shared" si="178"/>
        <v>0</v>
      </c>
      <c r="AU673" s="6" t="e">
        <v>#REF!</v>
      </c>
      <c r="AV673" s="6" t="e">
        <v>#REF!</v>
      </c>
      <c r="AW673" s="110">
        <f t="shared" si="172"/>
        <v>42949440.40621642</v>
      </c>
      <c r="AX673" s="55">
        <v>7393681.9400000004</v>
      </c>
      <c r="AY673" s="55">
        <v>2143637.4761874899</v>
      </c>
      <c r="AZ673" s="55">
        <v>2373820.8287423998</v>
      </c>
      <c r="BA673" s="55">
        <v>1401136.3128114899</v>
      </c>
      <c r="BB673" s="55">
        <v>1294156.2482307199</v>
      </c>
      <c r="BC673" s="55"/>
      <c r="BD673" s="55">
        <v>230299.60996685299</v>
      </c>
      <c r="BE673" s="55"/>
      <c r="BF673" s="55">
        <v>16590386.9870087</v>
      </c>
      <c r="BG673" s="55"/>
      <c r="BH673" s="55"/>
      <c r="BI673" s="55">
        <v>9290993.5275144298</v>
      </c>
      <c r="BJ673" s="55">
        <v>1498477.79318372</v>
      </c>
      <c r="BK673" s="63">
        <v>43476.727368</v>
      </c>
      <c r="BL673" s="64">
        <v>689372.95520262001</v>
      </c>
      <c r="BM673" s="110">
        <f t="shared" si="173"/>
        <v>42949440.40621642</v>
      </c>
      <c r="BN673" s="55">
        <v>7393681.9400000004</v>
      </c>
      <c r="BO673" s="55">
        <v>2143637.4761874899</v>
      </c>
      <c r="BP673" s="55">
        <v>2373820.8287423998</v>
      </c>
      <c r="BQ673" s="55">
        <v>1401136.3128114899</v>
      </c>
      <c r="BR673" s="55">
        <v>1294156.2482307199</v>
      </c>
      <c r="BS673" s="55"/>
      <c r="BT673" s="55">
        <v>230299.60996685299</v>
      </c>
      <c r="BU673" s="55"/>
      <c r="BV673" s="55">
        <v>16590386.9870087</v>
      </c>
      <c r="BW673" s="55"/>
      <c r="BX673" s="55"/>
      <c r="BY673" s="55">
        <v>9290993.5275144298</v>
      </c>
      <c r="BZ673" s="55">
        <v>1498477.79318372</v>
      </c>
      <c r="CA673" s="63">
        <v>43476.727368</v>
      </c>
      <c r="CB673" s="64">
        <v>689372.95520262001</v>
      </c>
      <c r="CD673" s="75"/>
      <c r="CE673" s="6"/>
      <c r="CF673" s="116"/>
    </row>
    <row r="674" spans="1:84" s="69" customFormat="1" x14ac:dyDescent="0.25">
      <c r="A674" s="105">
        <f t="shared" si="174"/>
        <v>652</v>
      </c>
      <c r="B674" s="106">
        <f t="shared" si="180"/>
        <v>192</v>
      </c>
      <c r="C674" s="107" t="s">
        <v>181</v>
      </c>
      <c r="D674" s="107" t="s">
        <v>378</v>
      </c>
      <c r="E674" s="128" t="s">
        <v>183</v>
      </c>
      <c r="F674" s="128"/>
      <c r="G674" s="128" t="s">
        <v>64</v>
      </c>
      <c r="H674" s="128" t="s">
        <v>184</v>
      </c>
      <c r="I674" s="128" t="s">
        <v>184</v>
      </c>
      <c r="J674" s="63">
        <v>3950.89</v>
      </c>
      <c r="K674" s="63">
        <v>3454.6</v>
      </c>
      <c r="L674" s="63">
        <v>0</v>
      </c>
      <c r="M674" s="129">
        <v>153</v>
      </c>
      <c r="N674" s="108">
        <v>30246345.75</v>
      </c>
      <c r="O674" s="63">
        <v>0</v>
      </c>
      <c r="P674" s="62">
        <v>8914366.6899999995</v>
      </c>
      <c r="Q674" s="63"/>
      <c r="R674" s="62">
        <v>369987.66</v>
      </c>
      <c r="S674" s="62">
        <v>11011049.17</v>
      </c>
      <c r="T674" s="62">
        <v>9950942.2300000004</v>
      </c>
      <c r="U674" s="63">
        <v>6210.6556224145697</v>
      </c>
      <c r="V674" s="63">
        <v>1327.2830200640001</v>
      </c>
      <c r="W674" s="59">
        <v>2024</v>
      </c>
      <c r="X674" s="69">
        <v>1263644.1499999999</v>
      </c>
      <c r="Y674" s="69">
        <f>+(K674*9.1+L674*18.19)*12</f>
        <v>377242.31999999995</v>
      </c>
      <c r="AA674" s="70" t="e">
        <v>#REF!</v>
      </c>
      <c r="AD674" s="70" t="e">
        <v>#REF!</v>
      </c>
      <c r="AP674" s="61">
        <f>+N674-'Приложение №2'!E674</f>
        <v>-3.1933672726154327E-3</v>
      </c>
      <c r="AQ674" s="65">
        <f>2044101.29-R308</f>
        <v>-369987.66000000015</v>
      </c>
      <c r="AR674" s="3">
        <f t="shared" si="181"/>
        <v>369987.66</v>
      </c>
      <c r="AS674" s="3">
        <f>+(K674*10.5+L674*21)*12*30-S308</f>
        <v>5240915.4808142297</v>
      </c>
      <c r="AT674" s="6">
        <f t="shared" si="178"/>
        <v>5770133.6891857702</v>
      </c>
      <c r="AU674" s="6" t="e">
        <v>#REF!</v>
      </c>
      <c r="AV674" s="6" t="e">
        <v>#REF!</v>
      </c>
      <c r="AW674" s="110">
        <f t="shared" ref="AW674:AW737" si="182">SUBTOTAL(9, AX674:BL674)</f>
        <v>21455330.913193367</v>
      </c>
      <c r="AX674" s="55">
        <v>10498865.200444</v>
      </c>
      <c r="AY674" s="55">
        <v>3966708.6084559099</v>
      </c>
      <c r="AZ674" s="55">
        <v>0</v>
      </c>
      <c r="BA674" s="55">
        <v>3542622.2502106801</v>
      </c>
      <c r="BB674" s="55">
        <v>1398827.3755945901</v>
      </c>
      <c r="BC674" s="55"/>
      <c r="BD674" s="55">
        <v>376376.559302421</v>
      </c>
      <c r="BE674" s="55">
        <v>0</v>
      </c>
      <c r="BF674" s="55"/>
      <c r="BG674" s="55">
        <v>0</v>
      </c>
      <c r="BH674" s="55"/>
      <c r="BI674" s="55"/>
      <c r="BJ674" s="55"/>
      <c r="BK674" s="63"/>
      <c r="BL674" s="64">
        <v>1671930.91918577</v>
      </c>
      <c r="BM674" s="110">
        <f t="shared" ref="BM674:BM737" si="183">SUBTOTAL(9, BN674:CB674)</f>
        <v>21455330.913193367</v>
      </c>
      <c r="BN674" s="55">
        <v>10498865.200444</v>
      </c>
      <c r="BO674" s="55">
        <v>3966708.6084559099</v>
      </c>
      <c r="BP674" s="55">
        <v>0</v>
      </c>
      <c r="BQ674" s="55">
        <v>3542622.2502106801</v>
      </c>
      <c r="BR674" s="55">
        <v>1398827.3755945901</v>
      </c>
      <c r="BS674" s="55"/>
      <c r="BT674" s="55">
        <v>376376.559302421</v>
      </c>
      <c r="BU674" s="55">
        <v>0</v>
      </c>
      <c r="BV674" s="55"/>
      <c r="BW674" s="55">
        <v>0</v>
      </c>
      <c r="BX674" s="55"/>
      <c r="BY674" s="55"/>
      <c r="BZ674" s="55"/>
      <c r="CA674" s="63"/>
      <c r="CB674" s="64">
        <v>1671930.91918577</v>
      </c>
      <c r="CD674" s="75"/>
      <c r="CE674" s="6"/>
      <c r="CF674" s="116"/>
    </row>
    <row r="675" spans="1:84" s="69" customFormat="1" x14ac:dyDescent="0.25">
      <c r="A675" s="105">
        <f t="shared" ref="A675:A738" si="184">+A674+1</f>
        <v>653</v>
      </c>
      <c r="B675" s="106">
        <f t="shared" si="180"/>
        <v>193</v>
      </c>
      <c r="C675" s="53" t="s">
        <v>181</v>
      </c>
      <c r="D675" s="53" t="s">
        <v>634</v>
      </c>
      <c r="E675" s="54" t="s">
        <v>635</v>
      </c>
      <c r="F675" s="54"/>
      <c r="G675" s="54" t="s">
        <v>64</v>
      </c>
      <c r="H675" s="54" t="s">
        <v>184</v>
      </c>
      <c r="I675" s="54" t="s">
        <v>184</v>
      </c>
      <c r="J675" s="55">
        <v>3906</v>
      </c>
      <c r="K675" s="55">
        <v>3421.4</v>
      </c>
      <c r="L675" s="55">
        <v>0</v>
      </c>
      <c r="M675" s="56">
        <v>129</v>
      </c>
      <c r="N675" s="112">
        <v>2007706.06</v>
      </c>
      <c r="O675" s="55"/>
      <c r="P675" s="63"/>
      <c r="Q675" s="63"/>
      <c r="R675" s="62">
        <v>2007706.06</v>
      </c>
      <c r="S675" s="63"/>
      <c r="T675" s="63"/>
      <c r="U675" s="63">
        <v>2605.4982719999998</v>
      </c>
      <c r="V675" s="63">
        <v>1328.2830200640001</v>
      </c>
      <c r="W675" s="59">
        <v>2024</v>
      </c>
      <c r="AA675" s="70"/>
      <c r="AD675" s="70"/>
      <c r="AP675" s="61">
        <f>+N675-'Приложение №2'!E675</f>
        <v>1.24916504137218E-3</v>
      </c>
      <c r="AQ675" s="73">
        <v>1883712.58</v>
      </c>
      <c r="AR675" s="3">
        <f t="shared" si="181"/>
        <v>366431.94</v>
      </c>
      <c r="AS675" s="3">
        <f>+(K675*10.5+L675*21)*12*30</f>
        <v>12932892</v>
      </c>
      <c r="AT675" s="6">
        <f t="shared" si="178"/>
        <v>-12932892</v>
      </c>
      <c r="AU675" s="6"/>
      <c r="AV675" s="6"/>
      <c r="AW675" s="110">
        <f t="shared" si="182"/>
        <v>8914451.787820803</v>
      </c>
      <c r="AX675" s="55"/>
      <c r="AY675" s="55"/>
      <c r="AZ675" s="55"/>
      <c r="BA675" s="55"/>
      <c r="BB675" s="55"/>
      <c r="BC675" s="55"/>
      <c r="BD675" s="55"/>
      <c r="BE675" s="55"/>
      <c r="BF675" s="55"/>
      <c r="BG675" s="55"/>
      <c r="BH675" s="55"/>
      <c r="BI675" s="55">
        <v>7764077.4424096802</v>
      </c>
      <c r="BJ675" s="55">
        <v>891445.17878207995</v>
      </c>
      <c r="BK675" s="63">
        <v>89144.517878208004</v>
      </c>
      <c r="BL675" s="111">
        <v>169784.64875083501</v>
      </c>
      <c r="BM675" s="110">
        <f t="shared" si="183"/>
        <v>8914451.787820803</v>
      </c>
      <c r="BN675" s="55"/>
      <c r="BO675" s="55"/>
      <c r="BP675" s="55"/>
      <c r="BQ675" s="55"/>
      <c r="BR675" s="55"/>
      <c r="BS675" s="55"/>
      <c r="BT675" s="55"/>
      <c r="BU675" s="55"/>
      <c r="BV675" s="55"/>
      <c r="BW675" s="55"/>
      <c r="BX675" s="55"/>
      <c r="BY675" s="55">
        <v>7764077.4424096802</v>
      </c>
      <c r="BZ675" s="55">
        <v>891445.17878207995</v>
      </c>
      <c r="CA675" s="63">
        <v>89144.517878208004</v>
      </c>
      <c r="CB675" s="64">
        <v>169784.64875083501</v>
      </c>
      <c r="CD675" s="75"/>
      <c r="CE675" s="6"/>
    </row>
    <row r="676" spans="1:84" x14ac:dyDescent="0.25">
      <c r="A676" s="105">
        <f t="shared" si="184"/>
        <v>654</v>
      </c>
      <c r="B676" s="106">
        <f t="shared" si="180"/>
        <v>194</v>
      </c>
      <c r="C676" s="53" t="s">
        <v>108</v>
      </c>
      <c r="D676" s="53" t="s">
        <v>379</v>
      </c>
      <c r="E676" s="54">
        <v>1968</v>
      </c>
      <c r="F676" s="54">
        <v>2013</v>
      </c>
      <c r="G676" s="54" t="s">
        <v>64</v>
      </c>
      <c r="H676" s="54">
        <v>5</v>
      </c>
      <c r="I676" s="54">
        <v>5</v>
      </c>
      <c r="J676" s="55">
        <v>3261.1</v>
      </c>
      <c r="K676" s="55">
        <v>2512.5</v>
      </c>
      <c r="L676" s="55">
        <v>664.8</v>
      </c>
      <c r="M676" s="56">
        <v>128</v>
      </c>
      <c r="N676" s="112">
        <v>709514.6</v>
      </c>
      <c r="O676" s="55"/>
      <c r="P676" s="63"/>
      <c r="Q676" s="63"/>
      <c r="R676" s="3">
        <v>709514.6</v>
      </c>
      <c r="S676" s="63"/>
      <c r="T676" s="63"/>
      <c r="U676" s="55">
        <v>1016.77576941163</v>
      </c>
      <c r="V676" s="55">
        <v>1016.77576941163</v>
      </c>
      <c r="W676" s="59">
        <v>2024</v>
      </c>
      <c r="X676" s="6" t="e">
        <v>#REF!</v>
      </c>
      <c r="Z676" s="62">
        <f>SUM(AA676:AO676)</f>
        <v>30275329.636437479</v>
      </c>
      <c r="AA676" s="55">
        <v>6028027.9685480399</v>
      </c>
      <c r="AB676" s="55">
        <v>0</v>
      </c>
      <c r="AC676" s="55">
        <v>2244217.7771235602</v>
      </c>
      <c r="AD676" s="55">
        <v>0</v>
      </c>
      <c r="AE676" s="55">
        <v>1240916.79</v>
      </c>
      <c r="AF676" s="55"/>
      <c r="AG676" s="55">
        <v>0</v>
      </c>
      <c r="AH676" s="55">
        <v>0</v>
      </c>
      <c r="AI676" s="55">
        <v>11020152.3193566</v>
      </c>
      <c r="AJ676" s="55">
        <v>0</v>
      </c>
      <c r="AK676" s="55">
        <v>5721714.1000613999</v>
      </c>
      <c r="AL676" s="55">
        <v>0</v>
      </c>
      <c r="AM676" s="55">
        <v>3056047.9632999999</v>
      </c>
      <c r="AN676" s="63">
        <v>328671.8125</v>
      </c>
      <c r="AO676" s="64">
        <v>635580.90554787999</v>
      </c>
      <c r="AP676" s="61">
        <f>+N676-'Приложение №2'!E675</f>
        <v>-1298191.4587508352</v>
      </c>
      <c r="AQ676" s="1">
        <v>1018647.82</v>
      </c>
      <c r="AR676" s="3">
        <f>+(K676*10+L676*20)*12*0.85</f>
        <v>391894.2</v>
      </c>
      <c r="AS676" s="3">
        <f>+(K676*10+L676*20)*12*30</f>
        <v>13831560</v>
      </c>
      <c r="AT676" s="6">
        <f t="shared" ref="AT676:AT707" si="185">+S676-AS676</f>
        <v>-13831560</v>
      </c>
      <c r="AU676" s="6" t="e">
        <v>#REF!</v>
      </c>
      <c r="AV676" s="6" t="e">
        <v>#REF!</v>
      </c>
      <c r="AW676" s="62">
        <f t="shared" si="182"/>
        <v>3230601.6521515604</v>
      </c>
      <c r="AX676" s="55"/>
      <c r="AY676" s="55"/>
      <c r="AZ676" s="55">
        <v>2244217.7771235602</v>
      </c>
      <c r="BA676" s="55"/>
      <c r="BB676" s="55">
        <v>982262</v>
      </c>
      <c r="BC676" s="55"/>
      <c r="BD676" s="55"/>
      <c r="BE676" s="55"/>
      <c r="BF676" s="55"/>
      <c r="BG676" s="55"/>
      <c r="BH676" s="55"/>
      <c r="BI676" s="55">
        <v>0</v>
      </c>
      <c r="BJ676" s="55"/>
      <c r="BK676" s="63"/>
      <c r="BL676" s="111">
        <v>4121.8750280000004</v>
      </c>
      <c r="BM676" s="62">
        <f t="shared" si="183"/>
        <v>3230601.6521515604</v>
      </c>
      <c r="BN676" s="55"/>
      <c r="BO676" s="55"/>
      <c r="BP676" s="55">
        <v>2244217.7771235602</v>
      </c>
      <c r="BQ676" s="55"/>
      <c r="BR676" s="55">
        <v>982262</v>
      </c>
      <c r="BS676" s="55"/>
      <c r="BT676" s="55"/>
      <c r="BU676" s="55"/>
      <c r="BV676" s="55"/>
      <c r="BW676" s="55"/>
      <c r="BX676" s="55"/>
      <c r="BY676" s="55">
        <v>0</v>
      </c>
      <c r="BZ676" s="55"/>
      <c r="CA676" s="63"/>
      <c r="CB676" s="64">
        <v>4121.8750280000004</v>
      </c>
      <c r="CD676" s="75"/>
      <c r="CE676" s="6"/>
    </row>
    <row r="677" spans="1:84" x14ac:dyDescent="0.25">
      <c r="A677" s="105">
        <f t="shared" si="184"/>
        <v>655</v>
      </c>
      <c r="B677" s="106">
        <f t="shared" si="180"/>
        <v>195</v>
      </c>
      <c r="C677" s="107" t="s">
        <v>108</v>
      </c>
      <c r="D677" s="107" t="s">
        <v>636</v>
      </c>
      <c r="E677" s="128">
        <v>1976</v>
      </c>
      <c r="F677" s="128">
        <v>2013</v>
      </c>
      <c r="G677" s="128" t="s">
        <v>64</v>
      </c>
      <c r="H677" s="128">
        <v>4</v>
      </c>
      <c r="I677" s="128">
        <v>4</v>
      </c>
      <c r="J677" s="63">
        <v>2850.8</v>
      </c>
      <c r="K677" s="63">
        <v>2612.3000000000002</v>
      </c>
      <c r="L677" s="63">
        <v>0</v>
      </c>
      <c r="M677" s="129">
        <v>135</v>
      </c>
      <c r="N677" s="108">
        <v>1024198.04</v>
      </c>
      <c r="O677" s="63"/>
      <c r="P677" s="63"/>
      <c r="Q677" s="63"/>
      <c r="R677" s="62">
        <v>1024198.04</v>
      </c>
      <c r="S677" s="63"/>
      <c r="T677" s="63"/>
      <c r="U677" s="63">
        <v>392.067540981511</v>
      </c>
      <c r="V677" s="63">
        <v>392.067540981511</v>
      </c>
      <c r="W677" s="59">
        <v>2024</v>
      </c>
      <c r="X677" s="6" t="e">
        <v>#REF!</v>
      </c>
      <c r="Z677" s="62">
        <f>SUM(AA677:AO677)</f>
        <v>9718452.3328623008</v>
      </c>
      <c r="AA677" s="55">
        <v>0</v>
      </c>
      <c r="AB677" s="55"/>
      <c r="AC677" s="55">
        <v>0</v>
      </c>
      <c r="AD677" s="55"/>
      <c r="AE677" s="55">
        <v>1013323.25</v>
      </c>
      <c r="AF677" s="55"/>
      <c r="AG677" s="55">
        <v>237743.37685979999</v>
      </c>
      <c r="AH677" s="55">
        <v>0</v>
      </c>
      <c r="AI677" s="55">
        <v>0</v>
      </c>
      <c r="AJ677" s="55">
        <v>0</v>
      </c>
      <c r="AK677" s="55">
        <v>5880801.6867474001</v>
      </c>
      <c r="AL677" s="55"/>
      <c r="AM677" s="55">
        <v>2042532.0290000001</v>
      </c>
      <c r="AN677" s="63">
        <v>187559.97450000001</v>
      </c>
      <c r="AO677" s="64">
        <v>356492.0157551</v>
      </c>
      <c r="AP677" s="61">
        <f>+N677-'Приложение №2'!E677</f>
        <v>2.6940000243484974E-3</v>
      </c>
      <c r="AQ677" s="1">
        <f>1147783.87-88084.66</f>
        <v>1059699.2100000002</v>
      </c>
      <c r="AR677" s="3">
        <f>+(K677*10+L677*20)*12*0.85</f>
        <v>266454.59999999998</v>
      </c>
      <c r="AS677" s="3">
        <f>+(K677*10+L677*20)*12*30-2038331.33</f>
        <v>7365948.6699999999</v>
      </c>
      <c r="AT677" s="6">
        <f t="shared" si="185"/>
        <v>-7365948.6699999999</v>
      </c>
      <c r="AU677" s="6" t="e">
        <v>#REF!</v>
      </c>
      <c r="AV677" s="6" t="e">
        <v>#REF!</v>
      </c>
      <c r="AW677" s="62">
        <f t="shared" si="182"/>
        <v>1024198.037306</v>
      </c>
      <c r="AX677" s="55"/>
      <c r="AY677" s="55"/>
      <c r="AZ677" s="55"/>
      <c r="BA677" s="55"/>
      <c r="BB677" s="55">
        <v>1013323.25</v>
      </c>
      <c r="BC677" s="55"/>
      <c r="BD677" s="55"/>
      <c r="BE677" s="55"/>
      <c r="BF677" s="55"/>
      <c r="BG677" s="55"/>
      <c r="BH677" s="55"/>
      <c r="BI677" s="55"/>
      <c r="BJ677" s="55"/>
      <c r="BK677" s="63"/>
      <c r="BL677" s="64">
        <v>10874.787306</v>
      </c>
      <c r="BM677" s="62">
        <f t="shared" si="183"/>
        <v>1024198.037306</v>
      </c>
      <c r="BN677" s="55"/>
      <c r="BO677" s="55"/>
      <c r="BP677" s="55"/>
      <c r="BQ677" s="55"/>
      <c r="BR677" s="55">
        <v>1013323.25</v>
      </c>
      <c r="BS677" s="55"/>
      <c r="BT677" s="55"/>
      <c r="BU677" s="55"/>
      <c r="BV677" s="55"/>
      <c r="BW677" s="55"/>
      <c r="BX677" s="55"/>
      <c r="BY677" s="55"/>
      <c r="BZ677" s="55"/>
      <c r="CA677" s="63"/>
      <c r="CB677" s="64">
        <v>10874.787306</v>
      </c>
      <c r="CD677" s="75"/>
      <c r="CE677" s="6"/>
    </row>
    <row r="678" spans="1:84" x14ac:dyDescent="0.25">
      <c r="A678" s="105">
        <f t="shared" si="184"/>
        <v>656</v>
      </c>
      <c r="B678" s="106">
        <f t="shared" si="180"/>
        <v>196</v>
      </c>
      <c r="C678" s="53" t="s">
        <v>108</v>
      </c>
      <c r="D678" s="53" t="s">
        <v>186</v>
      </c>
      <c r="E678" s="54">
        <v>1986</v>
      </c>
      <c r="F678" s="54">
        <v>2013</v>
      </c>
      <c r="G678" s="54" t="s">
        <v>64</v>
      </c>
      <c r="H678" s="54">
        <v>12</v>
      </c>
      <c r="I678" s="54">
        <v>1</v>
      </c>
      <c r="J678" s="55">
        <v>5358.08</v>
      </c>
      <c r="K678" s="55">
        <v>4351.1000000000004</v>
      </c>
      <c r="L678" s="55">
        <v>75.099999999999994</v>
      </c>
      <c r="M678" s="56">
        <v>175</v>
      </c>
      <c r="N678" s="112">
        <v>542862</v>
      </c>
      <c r="O678" s="55"/>
      <c r="P678" s="63"/>
      <c r="Q678" s="63"/>
      <c r="R678" s="63"/>
      <c r="S678" s="63"/>
      <c r="T678" s="62">
        <v>542862</v>
      </c>
      <c r="U678" s="63">
        <v>122.647417649451</v>
      </c>
      <c r="V678" s="63">
        <v>122.647417649451</v>
      </c>
      <c r="W678" s="59">
        <v>2024</v>
      </c>
      <c r="X678" s="6" t="e">
        <v>#REF!</v>
      </c>
      <c r="Z678" s="62">
        <f>SUM(AA678:AO678)</f>
        <v>79559391.959999979</v>
      </c>
      <c r="AA678" s="55">
        <v>8341354.4473350001</v>
      </c>
      <c r="AB678" s="55">
        <v>5553433.1235902403</v>
      </c>
      <c r="AC678" s="55">
        <v>3380551.53059988</v>
      </c>
      <c r="AD678" s="55">
        <v>3049959.7596686399</v>
      </c>
      <c r="AE678" s="55">
        <v>1113740.92605384</v>
      </c>
      <c r="AF678" s="55"/>
      <c r="AG678" s="55">
        <v>465647.12643960002</v>
      </c>
      <c r="AH678" s="55">
        <v>0</v>
      </c>
      <c r="AI678" s="55">
        <v>3947389.3810512</v>
      </c>
      <c r="AJ678" s="55">
        <v>0</v>
      </c>
      <c r="AK678" s="55">
        <v>34269240.723520301</v>
      </c>
      <c r="AL678" s="55">
        <v>9011986.1099326797</v>
      </c>
      <c r="AM678" s="55">
        <v>8118689.5914000003</v>
      </c>
      <c r="AN678" s="63">
        <v>795593.91960000002</v>
      </c>
      <c r="AO678" s="64">
        <v>1511805.3208085999</v>
      </c>
      <c r="AP678" s="61">
        <f>+N678-'Приложение №2'!E678</f>
        <v>0</v>
      </c>
      <c r="AQ678" s="1">
        <v>2642732.98</v>
      </c>
      <c r="AR678" s="3">
        <f>+(K678*13.29+L678*22.52)*12*0.85</f>
        <v>607077.18420000002</v>
      </c>
      <c r="AS678" s="3">
        <f>+(K678*13.29+L678*22.52)*12*30</f>
        <v>21426253.560000002</v>
      </c>
      <c r="AT678" s="6">
        <f t="shared" si="185"/>
        <v>-21426253.560000002</v>
      </c>
      <c r="AW678" s="57">
        <f t="shared" si="182"/>
        <v>542862</v>
      </c>
      <c r="AX678" s="55"/>
      <c r="AY678" s="55"/>
      <c r="AZ678" s="55"/>
      <c r="BA678" s="55"/>
      <c r="BB678" s="55"/>
      <c r="BC678" s="55"/>
      <c r="BD678" s="55"/>
      <c r="BE678" s="55"/>
      <c r="BF678" s="55"/>
      <c r="BG678" s="55"/>
      <c r="BH678" s="55">
        <v>542862</v>
      </c>
      <c r="BI678" s="55"/>
      <c r="BJ678" s="55"/>
      <c r="BK678" s="63"/>
      <c r="BL678" s="111"/>
      <c r="BM678" s="57">
        <f t="shared" si="183"/>
        <v>542862</v>
      </c>
      <c r="BN678" s="55"/>
      <c r="BO678" s="55"/>
      <c r="BP678" s="55"/>
      <c r="BQ678" s="55"/>
      <c r="BR678" s="55"/>
      <c r="BS678" s="55"/>
      <c r="BT678" s="55"/>
      <c r="BU678" s="55"/>
      <c r="BV678" s="55"/>
      <c r="BW678" s="55"/>
      <c r="BX678" s="55">
        <v>542862</v>
      </c>
      <c r="BY678" s="55"/>
      <c r="BZ678" s="55"/>
      <c r="CA678" s="63"/>
      <c r="CB678" s="64"/>
      <c r="CD678" s="75"/>
      <c r="CE678" s="6"/>
    </row>
    <row r="679" spans="1:84" s="69" customFormat="1" x14ac:dyDescent="0.25">
      <c r="A679" s="105">
        <f t="shared" si="184"/>
        <v>657</v>
      </c>
      <c r="B679" s="106">
        <f t="shared" si="180"/>
        <v>197</v>
      </c>
      <c r="C679" s="107" t="s">
        <v>108</v>
      </c>
      <c r="D679" s="107" t="s">
        <v>187</v>
      </c>
      <c r="E679" s="128" t="s">
        <v>377</v>
      </c>
      <c r="F679" s="128"/>
      <c r="G679" s="128" t="s">
        <v>64</v>
      </c>
      <c r="H679" s="128" t="s">
        <v>184</v>
      </c>
      <c r="I679" s="128" t="s">
        <v>185</v>
      </c>
      <c r="J679" s="63">
        <v>5678.2</v>
      </c>
      <c r="K679" s="63">
        <v>4923.8</v>
      </c>
      <c r="L679" s="63">
        <v>69.900000000000006</v>
      </c>
      <c r="M679" s="129">
        <v>205</v>
      </c>
      <c r="N679" s="108">
        <v>29465286.629999999</v>
      </c>
      <c r="O679" s="63">
        <v>0</v>
      </c>
      <c r="P679" s="63"/>
      <c r="Q679" s="63"/>
      <c r="R679" s="62">
        <v>1648558.45</v>
      </c>
      <c r="S679" s="62">
        <v>17986427.710000001</v>
      </c>
      <c r="T679" s="62">
        <v>9830300.4700000007</v>
      </c>
      <c r="U679" s="63">
        <v>2000.17354200408</v>
      </c>
      <c r="V679" s="63">
        <v>2000.17354200408</v>
      </c>
      <c r="W679" s="59">
        <v>2024</v>
      </c>
      <c r="X679" s="69">
        <v>1831927.01</v>
      </c>
      <c r="Y679" s="69">
        <f>+(K679*9.1+L679*18.19)*12</f>
        <v>552936.73200000008</v>
      </c>
      <c r="AA679" s="70" t="e">
        <v>#REF!</v>
      </c>
      <c r="AD679" s="70" t="e">
        <v>#REF!</v>
      </c>
      <c r="AP679" s="61">
        <f>+N679-'Приложение №2'!E679</f>
        <v>1.147538423538208E-3</v>
      </c>
      <c r="AQ679" s="114">
        <f>2280888.52-R311</f>
        <v>1132071.25</v>
      </c>
      <c r="AR679" s="3">
        <f>+(K679*10+L679*20)*12*0.85</f>
        <v>516487.2</v>
      </c>
      <c r="AS679" s="3">
        <f>+(K679*10+L679*20)*12*30-S311</f>
        <v>6174265.4585568998</v>
      </c>
      <c r="AT679" s="6">
        <f t="shared" si="185"/>
        <v>11812162.251443101</v>
      </c>
      <c r="AU679" s="6" t="e">
        <v>#REF!</v>
      </c>
      <c r="AV679" s="6" t="e">
        <v>#REF!</v>
      </c>
      <c r="AW679" s="62">
        <f t="shared" si="182"/>
        <v>9988266.6167057715</v>
      </c>
      <c r="AX679" s="55"/>
      <c r="AY679" s="55">
        <v>5733964.21526263</v>
      </c>
      <c r="AZ679" s="55"/>
      <c r="BA679" s="55"/>
      <c r="BB679" s="55">
        <v>2716727.83</v>
      </c>
      <c r="BC679" s="55"/>
      <c r="BD679" s="55"/>
      <c r="BE679" s="55"/>
      <c r="BF679" s="55"/>
      <c r="BG679" s="55"/>
      <c r="BH679" s="55"/>
      <c r="BI679" s="55"/>
      <c r="BJ679" s="55"/>
      <c r="BK679" s="55"/>
      <c r="BL679" s="60">
        <v>1537574.57144314</v>
      </c>
      <c r="BM679" s="62">
        <f t="shared" si="183"/>
        <v>9988266.6167057715</v>
      </c>
      <c r="BN679" s="55"/>
      <c r="BO679" s="55">
        <v>5733964.21526263</v>
      </c>
      <c r="BP679" s="55"/>
      <c r="BQ679" s="55"/>
      <c r="BR679" s="55">
        <v>2716727.83</v>
      </c>
      <c r="BS679" s="55"/>
      <c r="BT679" s="55"/>
      <c r="BU679" s="55"/>
      <c r="BV679" s="55"/>
      <c r="BW679" s="55"/>
      <c r="BX679" s="55"/>
      <c r="BY679" s="55"/>
      <c r="BZ679" s="55"/>
      <c r="CA679" s="55"/>
      <c r="CB679" s="60">
        <v>1537574.57144314</v>
      </c>
      <c r="CD679" s="75"/>
      <c r="CE679" s="6"/>
    </row>
    <row r="680" spans="1:84" s="69" customFormat="1" x14ac:dyDescent="0.25">
      <c r="A680" s="105">
        <f t="shared" si="184"/>
        <v>658</v>
      </c>
      <c r="B680" s="106">
        <f t="shared" si="180"/>
        <v>198</v>
      </c>
      <c r="C680" s="107" t="s">
        <v>108</v>
      </c>
      <c r="D680" s="107" t="s">
        <v>380</v>
      </c>
      <c r="E680" s="128" t="s">
        <v>377</v>
      </c>
      <c r="F680" s="128"/>
      <c r="G680" s="128" t="s">
        <v>64</v>
      </c>
      <c r="H680" s="128" t="s">
        <v>184</v>
      </c>
      <c r="I680" s="128" t="s">
        <v>185</v>
      </c>
      <c r="J680" s="63">
        <v>5563.5</v>
      </c>
      <c r="K680" s="63">
        <v>4878.8999999999996</v>
      </c>
      <c r="L680" s="63">
        <v>141.30000000000001</v>
      </c>
      <c r="M680" s="129">
        <v>202</v>
      </c>
      <c r="N680" s="108">
        <v>59717672.789999999</v>
      </c>
      <c r="O680" s="63">
        <v>0</v>
      </c>
      <c r="P680" s="62">
        <v>11802168.18</v>
      </c>
      <c r="Q680" s="63"/>
      <c r="R680" s="62">
        <v>1967027.03</v>
      </c>
      <c r="S680" s="62">
        <v>12550844.33</v>
      </c>
      <c r="T680" s="62">
        <v>33397633.25</v>
      </c>
      <c r="U680" s="63">
        <v>10763.816116219699</v>
      </c>
      <c r="V680" s="63">
        <v>10763.816116219699</v>
      </c>
      <c r="W680" s="59">
        <v>2024</v>
      </c>
      <c r="X680" s="69">
        <v>1863663.58</v>
      </c>
      <c r="Y680" s="69">
        <f>+(K680*9.1+L680*18.19)*12</f>
        <v>563618.84400000004</v>
      </c>
      <c r="AA680" s="70" t="e">
        <v>#REF!</v>
      </c>
      <c r="AD680" s="70" t="e">
        <v>#REF!</v>
      </c>
      <c r="AP680" s="61">
        <f>+N680-'Приложение №2'!E680</f>
        <v>-3.6203116178512573E-4</v>
      </c>
      <c r="AQ680" s="114">
        <f>2384583.81-R312</f>
        <v>696908.04336857004</v>
      </c>
      <c r="AR680" s="3">
        <f>+(K680*10+L680*20)*12*0.85</f>
        <v>526473</v>
      </c>
      <c r="AS680" s="3">
        <f>+(K680*10+L680*20)*12*30-S312</f>
        <v>13689107.84954932</v>
      </c>
      <c r="AT680" s="6">
        <f t="shared" si="185"/>
        <v>-1138263.5195493195</v>
      </c>
      <c r="AU680" s="6" t="e">
        <v>#REF!</v>
      </c>
      <c r="AV680" s="6" t="e">
        <v>#REF!</v>
      </c>
      <c r="AW680" s="62">
        <f t="shared" si="182"/>
        <v>54036509.666646227</v>
      </c>
      <c r="AX680" s="55">
        <v>8624090.4981803093</v>
      </c>
      <c r="AY680" s="55">
        <v>5764392.5653245999</v>
      </c>
      <c r="AZ680" s="55"/>
      <c r="BA680" s="55">
        <v>4190749.92926224</v>
      </c>
      <c r="BB680" s="55">
        <v>2625980.02</v>
      </c>
      <c r="BC680" s="55"/>
      <c r="BD680" s="55">
        <v>408501.99902710598</v>
      </c>
      <c r="BE680" s="55"/>
      <c r="BF680" s="55"/>
      <c r="BG680" s="55"/>
      <c r="BH680" s="55">
        <v>30921783.3644013</v>
      </c>
      <c r="BI680" s="55"/>
      <c r="BJ680" s="55"/>
      <c r="BK680" s="55"/>
      <c r="BL680" s="60">
        <v>1501011.2904506801</v>
      </c>
      <c r="BM680" s="62">
        <f t="shared" si="183"/>
        <v>54036509.666646227</v>
      </c>
      <c r="BN680" s="55">
        <v>8624090.4981803093</v>
      </c>
      <c r="BO680" s="55">
        <v>5764392.5653245999</v>
      </c>
      <c r="BP680" s="55"/>
      <c r="BQ680" s="55">
        <v>4190749.92926224</v>
      </c>
      <c r="BR680" s="55">
        <v>2625980.02</v>
      </c>
      <c r="BS680" s="55"/>
      <c r="BT680" s="55">
        <v>408501.99902710598</v>
      </c>
      <c r="BU680" s="55"/>
      <c r="BV680" s="55"/>
      <c r="BW680" s="55"/>
      <c r="BX680" s="55">
        <v>30921783.3644013</v>
      </c>
      <c r="BY680" s="55"/>
      <c r="BZ680" s="55"/>
      <c r="CA680" s="55"/>
      <c r="CB680" s="60">
        <v>1501011.2904506801</v>
      </c>
      <c r="CD680" s="75"/>
      <c r="CE680" s="6"/>
    </row>
    <row r="681" spans="1:84" s="69" customFormat="1" x14ac:dyDescent="0.25">
      <c r="A681" s="105">
        <f t="shared" si="184"/>
        <v>659</v>
      </c>
      <c r="B681" s="106">
        <f t="shared" si="180"/>
        <v>199</v>
      </c>
      <c r="C681" s="107" t="s">
        <v>181</v>
      </c>
      <c r="D681" s="107" t="s">
        <v>381</v>
      </c>
      <c r="E681" s="128" t="s">
        <v>183</v>
      </c>
      <c r="F681" s="128"/>
      <c r="G681" s="128" t="s">
        <v>64</v>
      </c>
      <c r="H681" s="128" t="s">
        <v>184</v>
      </c>
      <c r="I681" s="128" t="s">
        <v>185</v>
      </c>
      <c r="J681" s="63">
        <v>5751.1</v>
      </c>
      <c r="K681" s="63">
        <v>4971.6000000000004</v>
      </c>
      <c r="L681" s="63">
        <v>0</v>
      </c>
      <c r="M681" s="129">
        <v>221</v>
      </c>
      <c r="N681" s="108">
        <v>41795857.030000001</v>
      </c>
      <c r="O681" s="63">
        <v>0</v>
      </c>
      <c r="P681" s="62">
        <v>6666221.4000000004</v>
      </c>
      <c r="Q681" s="63"/>
      <c r="R681" s="62">
        <v>532458.36</v>
      </c>
      <c r="S681" s="62">
        <v>4141091.48</v>
      </c>
      <c r="T681" s="62">
        <v>30456085.789999999</v>
      </c>
      <c r="U681" s="63">
        <v>7573.9732792899003</v>
      </c>
      <c r="V681" s="63">
        <v>1330.2830200640001</v>
      </c>
      <c r="W681" s="59">
        <v>2024</v>
      </c>
      <c r="X681" s="69">
        <v>1827431.02</v>
      </c>
      <c r="Y681" s="69">
        <f>+(K681*9.1+L681*18.19)*12</f>
        <v>542898.72000000009</v>
      </c>
      <c r="AA681" s="70" t="e">
        <v>#REF!</v>
      </c>
      <c r="AD681" s="70" t="e">
        <v>#REF!</v>
      </c>
      <c r="AP681" s="61">
        <f>+N681-'Приложение №2'!E681</f>
        <v>-6.5186917781829834E-3</v>
      </c>
      <c r="AQ681" s="65">
        <f>2885684.78-R313</f>
        <v>153561.5299999998</v>
      </c>
      <c r="AR681" s="3">
        <f>+(K681*10.5+L681*21)*12*0.85</f>
        <v>532458.3600000001</v>
      </c>
      <c r="AS681" s="3">
        <f>+(K681*10.5+L681*21)*12*30-S313</f>
        <v>-2553511.6156398952</v>
      </c>
      <c r="AT681" s="6">
        <f t="shared" si="185"/>
        <v>6694603.0956398956</v>
      </c>
      <c r="AU681" s="6" t="e">
        <v>#REF!</v>
      </c>
      <c r="AV681" s="6" t="e">
        <v>#REF!</v>
      </c>
      <c r="AW681" s="110">
        <f t="shared" si="182"/>
        <v>37654765.555317685</v>
      </c>
      <c r="AX681" s="55"/>
      <c r="AY681" s="55"/>
      <c r="AZ681" s="55">
        <v>0</v>
      </c>
      <c r="BA681" s="55">
        <v>0</v>
      </c>
      <c r="BB681" s="55">
        <v>2013086.9508788399</v>
      </c>
      <c r="BC681" s="55"/>
      <c r="BD681" s="55"/>
      <c r="BE681" s="55">
        <v>0</v>
      </c>
      <c r="BF681" s="55"/>
      <c r="BG681" s="55">
        <v>0</v>
      </c>
      <c r="BH681" s="55">
        <v>34115262.518798999</v>
      </c>
      <c r="BI681" s="55"/>
      <c r="BJ681" s="55"/>
      <c r="BK681" s="63"/>
      <c r="BL681" s="64">
        <v>1526416.08563985</v>
      </c>
      <c r="BM681" s="110">
        <f t="shared" si="183"/>
        <v>37654765.555317685</v>
      </c>
      <c r="BN681" s="55"/>
      <c r="BO681" s="55"/>
      <c r="BP681" s="55">
        <v>0</v>
      </c>
      <c r="BQ681" s="55">
        <v>0</v>
      </c>
      <c r="BR681" s="55">
        <v>2013086.9508788399</v>
      </c>
      <c r="BS681" s="55"/>
      <c r="BT681" s="55"/>
      <c r="BU681" s="55">
        <v>0</v>
      </c>
      <c r="BV681" s="55"/>
      <c r="BW681" s="55">
        <v>0</v>
      </c>
      <c r="BX681" s="55">
        <v>34115262.518798999</v>
      </c>
      <c r="BY681" s="55"/>
      <c r="BZ681" s="55"/>
      <c r="CA681" s="63"/>
      <c r="CB681" s="64">
        <v>1526416.08563985</v>
      </c>
      <c r="CD681" s="75"/>
      <c r="CE681" s="6"/>
    </row>
    <row r="682" spans="1:84" s="69" customFormat="1" x14ac:dyDescent="0.25">
      <c r="A682" s="105">
        <f t="shared" si="184"/>
        <v>660</v>
      </c>
      <c r="B682" s="106">
        <f t="shared" si="180"/>
        <v>200</v>
      </c>
      <c r="C682" s="107" t="s">
        <v>108</v>
      </c>
      <c r="D682" s="107" t="s">
        <v>382</v>
      </c>
      <c r="E682" s="128" t="s">
        <v>183</v>
      </c>
      <c r="F682" s="128"/>
      <c r="G682" s="128" t="s">
        <v>64</v>
      </c>
      <c r="H682" s="128" t="s">
        <v>184</v>
      </c>
      <c r="I682" s="128" t="s">
        <v>185</v>
      </c>
      <c r="J682" s="63">
        <v>5677.5</v>
      </c>
      <c r="K682" s="63">
        <v>4896.3999999999996</v>
      </c>
      <c r="L682" s="63">
        <v>72</v>
      </c>
      <c r="M682" s="129">
        <v>216</v>
      </c>
      <c r="N682" s="108">
        <v>2053392.55</v>
      </c>
      <c r="O682" s="63">
        <v>0</v>
      </c>
      <c r="P682" s="63"/>
      <c r="Q682" s="63"/>
      <c r="R682" s="62">
        <v>2053392.55</v>
      </c>
      <c r="S682" s="63"/>
      <c r="T682" s="63"/>
      <c r="U682" s="63">
        <v>412.59779585862702</v>
      </c>
      <c r="V682" s="63">
        <v>412.59779585862702</v>
      </c>
      <c r="W682" s="59">
        <v>2024</v>
      </c>
      <c r="X682" s="69">
        <v>1825680.39</v>
      </c>
      <c r="Y682" s="69">
        <f>+(K682*9.1+L682*18.19)*12</f>
        <v>550403.04</v>
      </c>
      <c r="AA682" s="70" t="e">
        <v>#REF!</v>
      </c>
      <c r="AD682" s="70" t="e">
        <v>#REF!</v>
      </c>
      <c r="AP682" s="61">
        <f>+N682-'Приложение №2'!E682</f>
        <v>9.765983559191227E-4</v>
      </c>
      <c r="AQ682" s="114">
        <f>2265420.6-R314</f>
        <v>1332154.8400000001</v>
      </c>
      <c r="AR682" s="3">
        <f>+(K682*10+L682*20)*12*0.85</f>
        <v>514120.8</v>
      </c>
      <c r="AS682" s="3">
        <f>+(K682*10+L682*20)*12*30-S314</f>
        <v>3254114.8709766008</v>
      </c>
      <c r="AT682" s="6">
        <f t="shared" si="185"/>
        <v>-3254114.8709766008</v>
      </c>
      <c r="AU682" s="6" t="e">
        <v>#REF!</v>
      </c>
      <c r="AV682" s="6" t="e">
        <v>#REF!</v>
      </c>
      <c r="AW682" s="62">
        <f t="shared" si="182"/>
        <v>2049950.8889440016</v>
      </c>
      <c r="AX682" s="55"/>
      <c r="AY682" s="55"/>
      <c r="AZ682" s="55"/>
      <c r="BA682" s="55"/>
      <c r="BB682" s="55">
        <v>2006081.9399206</v>
      </c>
      <c r="BC682" s="55"/>
      <c r="BD682" s="55"/>
      <c r="BE682" s="55"/>
      <c r="BF682" s="55"/>
      <c r="BG682" s="55"/>
      <c r="BH682" s="55"/>
      <c r="BI682" s="136"/>
      <c r="BJ682" s="55"/>
      <c r="BK682" s="55"/>
      <c r="BL682" s="60">
        <f>43868.9490234015</f>
        <v>43868.949023401503</v>
      </c>
      <c r="BM682" s="62">
        <f t="shared" si="183"/>
        <v>2049950.8889440016</v>
      </c>
      <c r="BN682" s="55"/>
      <c r="BO682" s="55"/>
      <c r="BP682" s="55"/>
      <c r="BQ682" s="55"/>
      <c r="BR682" s="55">
        <v>2006081.9399206</v>
      </c>
      <c r="BS682" s="55"/>
      <c r="BT682" s="55"/>
      <c r="BU682" s="55"/>
      <c r="BV682" s="55"/>
      <c r="BW682" s="55"/>
      <c r="BX682" s="55"/>
      <c r="BY682" s="136"/>
      <c r="BZ682" s="55"/>
      <c r="CA682" s="55"/>
      <c r="CB682" s="60">
        <f>43868.9490234015</f>
        <v>43868.949023401503</v>
      </c>
      <c r="CD682" s="75"/>
      <c r="CE682" s="6"/>
    </row>
    <row r="683" spans="1:84" x14ac:dyDescent="0.25">
      <c r="A683" s="105">
        <f t="shared" si="184"/>
        <v>661</v>
      </c>
      <c r="B683" s="106">
        <f t="shared" si="180"/>
        <v>201</v>
      </c>
      <c r="C683" s="107" t="s">
        <v>637</v>
      </c>
      <c r="D683" s="107" t="s">
        <v>638</v>
      </c>
      <c r="E683" s="128">
        <v>2004</v>
      </c>
      <c r="F683" s="128">
        <v>2005</v>
      </c>
      <c r="G683" s="128" t="s">
        <v>64</v>
      </c>
      <c r="H683" s="128">
        <v>7</v>
      </c>
      <c r="I683" s="128">
        <v>3</v>
      </c>
      <c r="J683" s="63">
        <v>3311.6</v>
      </c>
      <c r="K683" s="63">
        <v>2794.8</v>
      </c>
      <c r="L683" s="63">
        <v>0</v>
      </c>
      <c r="M683" s="129">
        <v>75</v>
      </c>
      <c r="N683" s="108">
        <v>6507525.8600000003</v>
      </c>
      <c r="O683" s="63"/>
      <c r="P683" s="62">
        <v>4793742.17</v>
      </c>
      <c r="Q683" s="63"/>
      <c r="R683" s="62">
        <v>397672.09</v>
      </c>
      <c r="S683" s="74">
        <v>1316111.6000000001</v>
      </c>
      <c r="T683" s="180"/>
      <c r="U683" s="63">
        <v>2328.4406252702702</v>
      </c>
      <c r="V683" s="63">
        <v>1332.2830200640001</v>
      </c>
      <c r="W683" s="59">
        <v>2024</v>
      </c>
      <c r="X683" s="6" t="e">
        <v>#REF!</v>
      </c>
      <c r="Z683" s="62">
        <f>SUM(AA683:AO683)</f>
        <v>6068209.4999999991</v>
      </c>
      <c r="AA683" s="55">
        <v>5838134.5613639997</v>
      </c>
      <c r="AB683" s="55">
        <v>0</v>
      </c>
      <c r="AC683" s="55">
        <v>0</v>
      </c>
      <c r="AD683" s="55">
        <v>0</v>
      </c>
      <c r="AE683" s="55">
        <v>0</v>
      </c>
      <c r="AF683" s="55"/>
      <c r="AG683" s="55">
        <v>0</v>
      </c>
      <c r="AH683" s="55">
        <v>0</v>
      </c>
      <c r="AI683" s="55">
        <v>0</v>
      </c>
      <c r="AJ683" s="55">
        <v>0</v>
      </c>
      <c r="AK683" s="55">
        <v>0</v>
      </c>
      <c r="AL683" s="55">
        <v>0</v>
      </c>
      <c r="AM683" s="55">
        <v>99958.34</v>
      </c>
      <c r="AN683" s="55">
        <v>2448.42</v>
      </c>
      <c r="AO683" s="64">
        <v>127668.178636</v>
      </c>
      <c r="AP683" s="61">
        <f>+N683-'Приложение №2'!E683</f>
        <v>4.9466546624898911E-4</v>
      </c>
      <c r="AR683" s="3">
        <f>+(K683*13.95+L683*23.65)*12*0.85</f>
        <v>397672.092</v>
      </c>
      <c r="AS683" s="3">
        <f>+(K683*13.95+L683*23.65)*12*30</f>
        <v>14035485.600000001</v>
      </c>
      <c r="AT683" s="6">
        <f t="shared" si="185"/>
        <v>-12719374.000000002</v>
      </c>
      <c r="AU683" s="6" t="e">
        <v>#REF!</v>
      </c>
      <c r="AV683" s="6" t="e">
        <v>#REF!</v>
      </c>
      <c r="AW683" s="110">
        <f t="shared" si="182"/>
        <v>6507525.8595053349</v>
      </c>
      <c r="AX683" s="55">
        <v>6068202.4410059499</v>
      </c>
      <c r="AY683" s="55">
        <v>0</v>
      </c>
      <c r="AZ683" s="55">
        <v>0</v>
      </c>
      <c r="BA683" s="55">
        <v>0</v>
      </c>
      <c r="BB683" s="55">
        <v>0</v>
      </c>
      <c r="BC683" s="55">
        <v>0</v>
      </c>
      <c r="BD683" s="55">
        <v>314554.40909567999</v>
      </c>
      <c r="BE683" s="55">
        <v>0</v>
      </c>
      <c r="BF683" s="55">
        <v>0</v>
      </c>
      <c r="BG683" s="55">
        <v>0</v>
      </c>
      <c r="BH683" s="55">
        <v>0</v>
      </c>
      <c r="BI683" s="55">
        <v>0</v>
      </c>
      <c r="BJ683" s="55"/>
      <c r="BK683" s="55"/>
      <c r="BL683" s="64">
        <v>124769.009403705</v>
      </c>
      <c r="BM683" s="110">
        <f t="shared" si="183"/>
        <v>6507525.8595053349</v>
      </c>
      <c r="BN683" s="55">
        <v>6068202.4410059499</v>
      </c>
      <c r="BO683" s="55">
        <v>0</v>
      </c>
      <c r="BP683" s="55">
        <v>0</v>
      </c>
      <c r="BQ683" s="55">
        <v>0</v>
      </c>
      <c r="BR683" s="55">
        <v>0</v>
      </c>
      <c r="BS683" s="55">
        <v>0</v>
      </c>
      <c r="BT683" s="55">
        <v>314554.40909567999</v>
      </c>
      <c r="BU683" s="55">
        <v>0</v>
      </c>
      <c r="BV683" s="55">
        <v>0</v>
      </c>
      <c r="BW683" s="55">
        <v>0</v>
      </c>
      <c r="BX683" s="55">
        <v>0</v>
      </c>
      <c r="BY683" s="55">
        <v>0</v>
      </c>
      <c r="BZ683" s="55"/>
      <c r="CA683" s="55"/>
      <c r="CB683" s="64">
        <v>124769.009403705</v>
      </c>
      <c r="CD683" s="75"/>
      <c r="CE683" s="6"/>
    </row>
    <row r="684" spans="1:84" x14ac:dyDescent="0.25">
      <c r="A684" s="105">
        <f t="shared" si="184"/>
        <v>662</v>
      </c>
      <c r="B684" s="106">
        <f t="shared" si="180"/>
        <v>202</v>
      </c>
      <c r="C684" s="107" t="s">
        <v>108</v>
      </c>
      <c r="D684" s="107" t="s">
        <v>383</v>
      </c>
      <c r="E684" s="128">
        <v>1968</v>
      </c>
      <c r="F684" s="128">
        <v>2013</v>
      </c>
      <c r="G684" s="128" t="s">
        <v>64</v>
      </c>
      <c r="H684" s="128">
        <v>4</v>
      </c>
      <c r="I684" s="128">
        <v>3</v>
      </c>
      <c r="J684" s="63">
        <v>2488.5</v>
      </c>
      <c r="K684" s="63">
        <v>2348.1999999999998</v>
      </c>
      <c r="L684" s="63">
        <v>69.599999999999994</v>
      </c>
      <c r="M684" s="129">
        <v>56</v>
      </c>
      <c r="N684" s="108">
        <v>13249142.17</v>
      </c>
      <c r="O684" s="63"/>
      <c r="P684" s="63"/>
      <c r="Q684" s="63"/>
      <c r="R684" s="62">
        <v>623085.06000000006</v>
      </c>
      <c r="S684" s="62">
        <v>2489127.44</v>
      </c>
      <c r="T684" s="62">
        <v>10136929.67</v>
      </c>
      <c r="U684" s="63">
        <v>8579.3892615606601</v>
      </c>
      <c r="V684" s="63">
        <v>1333.2830200640001</v>
      </c>
      <c r="W684" s="59">
        <v>2024</v>
      </c>
      <c r="X684" s="6" t="e">
        <v>#REF!</v>
      </c>
      <c r="Z684" s="62">
        <f>SUM(AA684:AO684)</f>
        <v>5047649.35409299</v>
      </c>
      <c r="AA684" s="55">
        <v>0</v>
      </c>
      <c r="AB684" s="55">
        <v>2080965.3426794701</v>
      </c>
      <c r="AC684" s="55">
        <v>0</v>
      </c>
      <c r="AD684" s="55">
        <v>1397905.6390375199</v>
      </c>
      <c r="AE684" s="55">
        <v>1036272.831972</v>
      </c>
      <c r="AF684" s="55"/>
      <c r="AG684" s="55">
        <v>210866.25214200001</v>
      </c>
      <c r="AH684" s="55">
        <v>0</v>
      </c>
      <c r="AI684" s="55">
        <v>0</v>
      </c>
      <c r="AJ684" s="55">
        <v>0</v>
      </c>
      <c r="AK684" s="55">
        <v>0</v>
      </c>
      <c r="AL684" s="55">
        <v>0</v>
      </c>
      <c r="AM684" s="55">
        <v>173345.08</v>
      </c>
      <c r="AN684" s="55">
        <v>44945.94</v>
      </c>
      <c r="AO684" s="64">
        <v>103348.268262</v>
      </c>
      <c r="AP684" s="61">
        <f>+N684-'Приложение №2'!E684</f>
        <v>3.3278074115514755E-3</v>
      </c>
      <c r="AQ684" s="65">
        <f>1546040.99-R315</f>
        <v>1396589.13</v>
      </c>
      <c r="AR684" s="3">
        <f>+(K684*10.5+L684*21)*12*0.85</f>
        <v>266400.53999999998</v>
      </c>
      <c r="AS684" s="3">
        <f>+(K684*10.5+L684*21)*12*30-S315</f>
        <v>3107410.6037919978</v>
      </c>
      <c r="AT684" s="6">
        <f t="shared" si="185"/>
        <v>-618283.16379199782</v>
      </c>
      <c r="AU684" s="6" t="e">
        <v>#REF!</v>
      </c>
      <c r="AV684" s="6" t="e">
        <v>#REF!</v>
      </c>
      <c r="AW684" s="110">
        <f t="shared" si="182"/>
        <v>20146121.863996759</v>
      </c>
      <c r="AX684" s="55">
        <v>0</v>
      </c>
      <c r="AY684" s="55"/>
      <c r="AZ684" s="55">
        <v>0</v>
      </c>
      <c r="BA684" s="55"/>
      <c r="BB684" s="55">
        <v>1007894.07</v>
      </c>
      <c r="BC684" s="55"/>
      <c r="BD684" s="55"/>
      <c r="BE684" s="55">
        <v>0</v>
      </c>
      <c r="BF684" s="55">
        <v>0</v>
      </c>
      <c r="BG684" s="55">
        <v>0</v>
      </c>
      <c r="BH684" s="55">
        <v>16591013.299129499</v>
      </c>
      <c r="BI684" s="55"/>
      <c r="BJ684" s="55">
        <v>1796136.5285137</v>
      </c>
      <c r="BK684" s="55">
        <v>191715.22968136999</v>
      </c>
      <c r="BL684" s="64">
        <v>559362.73667219095</v>
      </c>
      <c r="BM684" s="110">
        <f t="shared" si="183"/>
        <v>20146121.863996759</v>
      </c>
      <c r="BN684" s="55">
        <v>0</v>
      </c>
      <c r="BO684" s="55"/>
      <c r="BP684" s="55">
        <v>0</v>
      </c>
      <c r="BQ684" s="55"/>
      <c r="BR684" s="55">
        <v>1007894.07</v>
      </c>
      <c r="BS684" s="55"/>
      <c r="BT684" s="55"/>
      <c r="BU684" s="55">
        <v>0</v>
      </c>
      <c r="BV684" s="55">
        <v>0</v>
      </c>
      <c r="BW684" s="55">
        <v>0</v>
      </c>
      <c r="BX684" s="55">
        <v>16591013.299129499</v>
      </c>
      <c r="BY684" s="55"/>
      <c r="BZ684" s="55">
        <v>1796136.5285137</v>
      </c>
      <c r="CA684" s="55">
        <v>191715.22968136999</v>
      </c>
      <c r="CB684" s="64">
        <v>559362.73667219095</v>
      </c>
      <c r="CD684" s="75"/>
      <c r="CE684" s="6"/>
      <c r="CF684" s="117"/>
    </row>
    <row r="685" spans="1:84" s="69" customFormat="1" x14ac:dyDescent="0.25">
      <c r="A685" s="105">
        <f t="shared" si="184"/>
        <v>663</v>
      </c>
      <c r="B685" s="106">
        <f t="shared" si="180"/>
        <v>203</v>
      </c>
      <c r="C685" s="107" t="s">
        <v>108</v>
      </c>
      <c r="D685" s="107" t="s">
        <v>639</v>
      </c>
      <c r="E685" s="128" t="s">
        <v>303</v>
      </c>
      <c r="F685" s="128"/>
      <c r="G685" s="128" t="s">
        <v>64</v>
      </c>
      <c r="H685" s="128" t="s">
        <v>101</v>
      </c>
      <c r="I685" s="128" t="s">
        <v>184</v>
      </c>
      <c r="J685" s="63">
        <v>4831.3</v>
      </c>
      <c r="K685" s="63">
        <v>4321.7</v>
      </c>
      <c r="L685" s="63">
        <v>0</v>
      </c>
      <c r="M685" s="129">
        <v>196</v>
      </c>
      <c r="N685" s="108">
        <v>2151481.91</v>
      </c>
      <c r="O685" s="63">
        <v>0</v>
      </c>
      <c r="P685" s="63"/>
      <c r="Q685" s="63"/>
      <c r="R685" s="62">
        <v>1333089.17</v>
      </c>
      <c r="S685" s="62">
        <v>818392.74</v>
      </c>
      <c r="T685" s="63"/>
      <c r="U685" s="63">
        <v>497.83231298424198</v>
      </c>
      <c r="V685" s="63">
        <v>497.83231298424198</v>
      </c>
      <c r="W685" s="59">
        <v>2024</v>
      </c>
      <c r="X685" s="69">
        <v>1600156.79</v>
      </c>
      <c r="Y685" s="69">
        <f>+(K685*9.1+L685*18.19)*12</f>
        <v>471929.6399999999</v>
      </c>
      <c r="AA685" s="70" t="e">
        <v>#REF!</v>
      </c>
      <c r="AD685" s="70" t="e">
        <v>#REF!</v>
      </c>
      <c r="AP685" s="61">
        <f>+N685-'Приложение №2'!E685</f>
        <v>2.9759965837001801E-3</v>
      </c>
      <c r="AQ685" s="69">
        <f>2071971.63-1179695.86</f>
        <v>892275.76999999979</v>
      </c>
      <c r="AR685" s="3">
        <f>+(K685*10+L685*20)*12*0.85</f>
        <v>440813.39999999997</v>
      </c>
      <c r="AS685" s="3">
        <f>+(K685*10+L685*20)*12*30-1591931.69</f>
        <v>13966188.310000001</v>
      </c>
      <c r="AT685" s="6">
        <f t="shared" si="185"/>
        <v>-13147795.57</v>
      </c>
      <c r="AU685" s="6" t="e">
        <v>#REF!</v>
      </c>
      <c r="AV685" s="6" t="e">
        <v>#REF!</v>
      </c>
      <c r="AW685" s="62">
        <f t="shared" si="182"/>
        <v>2151481.9070240036</v>
      </c>
      <c r="AX685" s="7"/>
      <c r="AY685" s="7"/>
      <c r="AZ685" s="7"/>
      <c r="BA685" s="7"/>
      <c r="BB685" s="55">
        <v>1843469.38522569</v>
      </c>
      <c r="BC685" s="55"/>
      <c r="BD685" s="55"/>
      <c r="BE685" s="55"/>
      <c r="BF685" s="55"/>
      <c r="BG685" s="55"/>
      <c r="BH685" s="55"/>
      <c r="BI685" s="55"/>
      <c r="BJ685" s="55">
        <v>267699.58</v>
      </c>
      <c r="BK685" s="55"/>
      <c r="BL685" s="60">
        <v>40312.941798313601</v>
      </c>
      <c r="BM685" s="62">
        <f t="shared" si="183"/>
        <v>2151481.9070240036</v>
      </c>
      <c r="BN685" s="7"/>
      <c r="BO685" s="7"/>
      <c r="BP685" s="7"/>
      <c r="BQ685" s="7"/>
      <c r="BR685" s="55">
        <v>1843469.38522569</v>
      </c>
      <c r="BS685" s="55"/>
      <c r="BT685" s="55"/>
      <c r="BU685" s="55"/>
      <c r="BV685" s="55"/>
      <c r="BW685" s="55"/>
      <c r="BX685" s="55"/>
      <c r="BY685" s="55"/>
      <c r="BZ685" s="55">
        <v>267699.58</v>
      </c>
      <c r="CA685" s="55"/>
      <c r="CB685" s="60">
        <v>40312.941798313601</v>
      </c>
      <c r="CD685" s="75"/>
      <c r="CE685" s="6"/>
    </row>
    <row r="686" spans="1:84" s="69" customFormat="1" x14ac:dyDescent="0.25">
      <c r="A686" s="105">
        <f t="shared" si="184"/>
        <v>664</v>
      </c>
      <c r="B686" s="106">
        <f t="shared" si="180"/>
        <v>204</v>
      </c>
      <c r="C686" s="107" t="s">
        <v>108</v>
      </c>
      <c r="D686" s="107" t="s">
        <v>640</v>
      </c>
      <c r="E686" s="128" t="s">
        <v>263</v>
      </c>
      <c r="F686" s="128"/>
      <c r="G686" s="128" t="s">
        <v>64</v>
      </c>
      <c r="H686" s="128" t="s">
        <v>101</v>
      </c>
      <c r="I686" s="128" t="s">
        <v>184</v>
      </c>
      <c r="J686" s="63">
        <v>4859.5</v>
      </c>
      <c r="K686" s="63">
        <v>4274.3</v>
      </c>
      <c r="L686" s="63">
        <v>0</v>
      </c>
      <c r="M686" s="129">
        <v>197</v>
      </c>
      <c r="N686" s="108">
        <v>2154465.0699999998</v>
      </c>
      <c r="O686" s="63">
        <v>0</v>
      </c>
      <c r="P686" s="63"/>
      <c r="Q686" s="63"/>
      <c r="R686" s="62">
        <v>2154465.0699999998</v>
      </c>
      <c r="S686" s="63"/>
      <c r="T686" s="63"/>
      <c r="U686" s="63">
        <v>504.05097117937402</v>
      </c>
      <c r="V686" s="63">
        <v>504.05097117937402</v>
      </c>
      <c r="W686" s="59">
        <v>2024</v>
      </c>
      <c r="X686" s="69">
        <v>1625579.3</v>
      </c>
      <c r="Y686" s="69">
        <f>+(K686*9.1+L686*18.19)*12</f>
        <v>466753.55999999994</v>
      </c>
      <c r="AA686" s="70" t="e">
        <v>#REF!</v>
      </c>
      <c r="AD686" s="70" t="e">
        <v>#REF!</v>
      </c>
      <c r="AP686" s="61">
        <f>+N686-'Приложение №2'!E686</f>
        <v>3.8880030624568462E-3</v>
      </c>
      <c r="AQ686" s="69">
        <v>2094059.07</v>
      </c>
      <c r="AR686" s="3">
        <f>+(K686*10+L686*20)*12*0.85</f>
        <v>435978.6</v>
      </c>
      <c r="AS686" s="3">
        <f>+(K686*10+L686*20)*12*30</f>
        <v>15387480</v>
      </c>
      <c r="AT686" s="6">
        <f t="shared" si="185"/>
        <v>-15387480</v>
      </c>
      <c r="AU686" s="6" t="e">
        <v>#REF!</v>
      </c>
      <c r="AV686" s="6" t="e">
        <v>#REF!</v>
      </c>
      <c r="AW686" s="62">
        <f t="shared" si="182"/>
        <v>2154465.0661119968</v>
      </c>
      <c r="AX686" s="7"/>
      <c r="AY686" s="7"/>
      <c r="AZ686" s="7"/>
      <c r="BA686" s="7"/>
      <c r="BB686" s="55">
        <v>1847918.7164512</v>
      </c>
      <c r="BC686" s="55"/>
      <c r="BD686" s="55"/>
      <c r="BE686" s="55"/>
      <c r="BF686" s="55"/>
      <c r="BG686" s="55"/>
      <c r="BH686" s="55"/>
      <c r="BI686" s="55"/>
      <c r="BJ686" s="55">
        <v>266136.11</v>
      </c>
      <c r="BK686" s="55"/>
      <c r="BL686" s="60">
        <v>40410.239660796797</v>
      </c>
      <c r="BM686" s="62">
        <f t="shared" si="183"/>
        <v>2154465.0661119968</v>
      </c>
      <c r="BN686" s="7"/>
      <c r="BO686" s="7"/>
      <c r="BP686" s="7"/>
      <c r="BQ686" s="7"/>
      <c r="BR686" s="55">
        <v>1847918.7164512</v>
      </c>
      <c r="BS686" s="55"/>
      <c r="BT686" s="55"/>
      <c r="BU686" s="55"/>
      <c r="BV686" s="55"/>
      <c r="BW686" s="55"/>
      <c r="BX686" s="55"/>
      <c r="BY686" s="55"/>
      <c r="BZ686" s="55">
        <v>266136.11</v>
      </c>
      <c r="CA686" s="55"/>
      <c r="CB686" s="60">
        <v>40410.239660796797</v>
      </c>
      <c r="CD686" s="75"/>
      <c r="CE686" s="6"/>
    </row>
    <row r="687" spans="1:84" s="69" customFormat="1" x14ac:dyDescent="0.25">
      <c r="A687" s="105">
        <f t="shared" si="184"/>
        <v>665</v>
      </c>
      <c r="B687" s="106">
        <f t="shared" si="180"/>
        <v>205</v>
      </c>
      <c r="C687" s="107" t="s">
        <v>108</v>
      </c>
      <c r="D687" s="107" t="s">
        <v>384</v>
      </c>
      <c r="E687" s="128" t="s">
        <v>340</v>
      </c>
      <c r="F687" s="128"/>
      <c r="G687" s="128" t="s">
        <v>64</v>
      </c>
      <c r="H687" s="128" t="s">
        <v>184</v>
      </c>
      <c r="I687" s="128" t="s">
        <v>184</v>
      </c>
      <c r="J687" s="63">
        <v>2960.3</v>
      </c>
      <c r="K687" s="63">
        <v>2725</v>
      </c>
      <c r="L687" s="63">
        <v>0</v>
      </c>
      <c r="M687" s="129">
        <v>121</v>
      </c>
      <c r="N687" s="108">
        <v>13994346.92</v>
      </c>
      <c r="O687" s="63">
        <v>0</v>
      </c>
      <c r="P687" s="62">
        <v>1991760.86</v>
      </c>
      <c r="Q687" s="63"/>
      <c r="R687" s="63"/>
      <c r="S687" s="62">
        <v>1004886.68</v>
      </c>
      <c r="T687" s="62">
        <v>10997699.380000001</v>
      </c>
      <c r="U687" s="63">
        <v>8362.46221489454</v>
      </c>
      <c r="V687" s="63">
        <v>8362.46221489454</v>
      </c>
      <c r="W687" s="59">
        <v>2024</v>
      </c>
      <c r="X687" s="69">
        <v>1033423.53</v>
      </c>
      <c r="Y687" s="69">
        <f>+(K687*9.1+L687*18.19)*12</f>
        <v>297570</v>
      </c>
      <c r="AA687" s="70" t="e">
        <v>#REF!</v>
      </c>
      <c r="AD687" s="70" t="e">
        <v>#REF!</v>
      </c>
      <c r="AP687" s="61" t="e">
        <f>+N687-#REF!</f>
        <v>#REF!</v>
      </c>
      <c r="AQ687" s="114">
        <f>1333137.2-R563</f>
        <v>-3002348.6099999994</v>
      </c>
      <c r="AR687" s="3">
        <f>+(K687*10+L687*20)*12*0.85</f>
        <v>277950</v>
      </c>
      <c r="AS687" s="3">
        <f>+(K687*10+L687*20)*12*30-S563</f>
        <v>-15337584</v>
      </c>
      <c r="AT687" s="6">
        <f t="shared" si="185"/>
        <v>16342470.68</v>
      </c>
      <c r="AU687" s="6" t="e">
        <v>#REF!</v>
      </c>
      <c r="AV687" s="6" t="e">
        <v>#REF!</v>
      </c>
      <c r="AW687" s="62">
        <f t="shared" si="182"/>
        <v>20530546.245062128</v>
      </c>
      <c r="AX687" s="7"/>
      <c r="AY687" s="7"/>
      <c r="AZ687" s="7"/>
      <c r="BA687" s="55"/>
      <c r="BB687" s="55">
        <v>1170100.2345370101</v>
      </c>
      <c r="BC687" s="55"/>
      <c r="BD687" s="55"/>
      <c r="BE687" s="55"/>
      <c r="BF687" s="55"/>
      <c r="BG687" s="55"/>
      <c r="BH687" s="55">
        <v>18699028.554937501</v>
      </c>
      <c r="BI687" s="55"/>
      <c r="BJ687" s="55"/>
      <c r="BK687" s="55"/>
      <c r="BL687" s="60">
        <v>661417.45558761898</v>
      </c>
      <c r="BM687" s="62">
        <f t="shared" si="183"/>
        <v>22787709.53558762</v>
      </c>
      <c r="BN687" s="7"/>
      <c r="BO687" s="7"/>
      <c r="BP687" s="7"/>
      <c r="BQ687" s="55"/>
      <c r="BR687" s="55">
        <v>1197372.1000000001</v>
      </c>
      <c r="BS687" s="55"/>
      <c r="BT687" s="55"/>
      <c r="BU687" s="55"/>
      <c r="BV687" s="55"/>
      <c r="BW687" s="55"/>
      <c r="BX687" s="55">
        <v>20928919.98</v>
      </c>
      <c r="BY687" s="55"/>
      <c r="BZ687" s="55"/>
      <c r="CA687" s="55"/>
      <c r="CB687" s="60">
        <v>661417.45558761898</v>
      </c>
      <c r="CD687" s="75"/>
      <c r="CE687" s="6"/>
    </row>
    <row r="688" spans="1:84" x14ac:dyDescent="0.25">
      <c r="A688" s="105">
        <f t="shared" si="184"/>
        <v>666</v>
      </c>
      <c r="B688" s="106">
        <f t="shared" si="180"/>
        <v>206</v>
      </c>
      <c r="C688" s="107" t="s">
        <v>108</v>
      </c>
      <c r="D688" s="107" t="s">
        <v>194</v>
      </c>
      <c r="E688" s="128">
        <v>1975</v>
      </c>
      <c r="F688" s="128">
        <v>2013</v>
      </c>
      <c r="G688" s="128" t="s">
        <v>64</v>
      </c>
      <c r="H688" s="128">
        <v>4</v>
      </c>
      <c r="I688" s="128">
        <v>6</v>
      </c>
      <c r="J688" s="63">
        <v>5531.3</v>
      </c>
      <c r="K688" s="63">
        <v>4842.7</v>
      </c>
      <c r="L688" s="63">
        <v>189.7</v>
      </c>
      <c r="M688" s="129">
        <v>224</v>
      </c>
      <c r="N688" s="108">
        <v>9673559.2100000009</v>
      </c>
      <c r="O688" s="63"/>
      <c r="P688" s="63"/>
      <c r="Q688" s="63"/>
      <c r="R688" s="62">
        <v>1026537.41</v>
      </c>
      <c r="S688" s="62">
        <v>4564178</v>
      </c>
      <c r="T688" s="62">
        <v>4082843.8</v>
      </c>
      <c r="U688" s="63">
        <v>2581.2418368050999</v>
      </c>
      <c r="V688" s="63">
        <v>2581.2418368050999</v>
      </c>
      <c r="W688" s="59">
        <v>2024</v>
      </c>
      <c r="X688" s="6" t="e">
        <v>#REF!</v>
      </c>
      <c r="Z688" s="62">
        <f t="shared" ref="Z688:Z694" si="186">SUM(AA688:AO688)</f>
        <v>87511152</v>
      </c>
      <c r="AA688" s="55">
        <v>8013494.3878079997</v>
      </c>
      <c r="AB688" s="55">
        <v>4634422.8779520001</v>
      </c>
      <c r="AC688" s="55">
        <v>4898928.1239360003</v>
      </c>
      <c r="AD688" s="55">
        <v>3735474.3417600002</v>
      </c>
      <c r="AE688" s="55">
        <v>1492245.5325120001</v>
      </c>
      <c r="AF688" s="55"/>
      <c r="AG688" s="55">
        <v>398188.42560000002</v>
      </c>
      <c r="AH688" s="55">
        <v>0</v>
      </c>
      <c r="AI688" s="55">
        <v>14265240.0912</v>
      </c>
      <c r="AJ688" s="55">
        <v>0</v>
      </c>
      <c r="AK688" s="55">
        <v>27696044.559455998</v>
      </c>
      <c r="AL688" s="55">
        <v>10892499.105599999</v>
      </c>
      <c r="AM688" s="55">
        <v>8946956.6400000006</v>
      </c>
      <c r="AN688" s="63">
        <v>875111.52</v>
      </c>
      <c r="AO688" s="64">
        <v>1662546.394176</v>
      </c>
      <c r="AP688" s="61">
        <f>+N688-'Приложение №2'!E688</f>
        <v>2.3400001227855682E-3</v>
      </c>
      <c r="AQ688" s="6">
        <f>2505054.36-114158.29-322925.86-R317</f>
        <v>1824970.56</v>
      </c>
      <c r="AR688" s="3">
        <f>+(K688*10+L688*20)*12*0.85</f>
        <v>532654.19999999995</v>
      </c>
      <c r="AS688" s="3">
        <f>+(K688*10+L688*20)*12*30-S317</f>
        <v>14521661.32234</v>
      </c>
      <c r="AT688" s="6">
        <f t="shared" si="185"/>
        <v>-9957483.3223400004</v>
      </c>
      <c r="AU688" s="6" t="e">
        <v>#REF!</v>
      </c>
      <c r="AV688" s="6" t="e">
        <v>#REF!</v>
      </c>
      <c r="AW688" s="62">
        <f t="shared" si="182"/>
        <v>12989841.419538001</v>
      </c>
      <c r="AX688" s="55"/>
      <c r="AY688" s="55"/>
      <c r="AZ688" s="55"/>
      <c r="BA688" s="55"/>
      <c r="BB688" s="55"/>
      <c r="BC688" s="55"/>
      <c r="BD688" s="55"/>
      <c r="BE688" s="55">
        <v>0</v>
      </c>
      <c r="BF688" s="55"/>
      <c r="BG688" s="55">
        <v>0</v>
      </c>
      <c r="BH688" s="55"/>
      <c r="BI688" s="55">
        <v>12056585.131878</v>
      </c>
      <c r="BJ688" s="55"/>
      <c r="BK688" s="63"/>
      <c r="BL688" s="64">
        <v>933256.28766000003</v>
      </c>
      <c r="BM688" s="62">
        <f t="shared" si="183"/>
        <v>12989841.419538001</v>
      </c>
      <c r="BN688" s="55"/>
      <c r="BO688" s="55"/>
      <c r="BP688" s="55"/>
      <c r="BQ688" s="55"/>
      <c r="BR688" s="55"/>
      <c r="BS688" s="55"/>
      <c r="BT688" s="55"/>
      <c r="BU688" s="55">
        <v>0</v>
      </c>
      <c r="BV688" s="55"/>
      <c r="BW688" s="55">
        <v>0</v>
      </c>
      <c r="BX688" s="55"/>
      <c r="BY688" s="55">
        <v>12056585.131878</v>
      </c>
      <c r="BZ688" s="55"/>
      <c r="CA688" s="63"/>
      <c r="CB688" s="64">
        <v>933256.28766000003</v>
      </c>
      <c r="CD688" s="75"/>
      <c r="CE688" s="6"/>
    </row>
    <row r="689" spans="1:84" x14ac:dyDescent="0.25">
      <c r="A689" s="105">
        <f t="shared" si="184"/>
        <v>667</v>
      </c>
      <c r="B689" s="106">
        <f t="shared" si="180"/>
        <v>207</v>
      </c>
      <c r="C689" s="107" t="s">
        <v>108</v>
      </c>
      <c r="D689" s="107" t="s">
        <v>195</v>
      </c>
      <c r="E689" s="128">
        <v>1974</v>
      </c>
      <c r="F689" s="128">
        <v>2013</v>
      </c>
      <c r="G689" s="128" t="s">
        <v>64</v>
      </c>
      <c r="H689" s="128">
        <v>4</v>
      </c>
      <c r="I689" s="128">
        <v>4</v>
      </c>
      <c r="J689" s="63">
        <v>3940.9</v>
      </c>
      <c r="K689" s="63">
        <v>3373.8</v>
      </c>
      <c r="L689" s="63">
        <v>212.7</v>
      </c>
      <c r="M689" s="129">
        <v>140</v>
      </c>
      <c r="N689" s="108">
        <v>4153488.65</v>
      </c>
      <c r="O689" s="63"/>
      <c r="P689" s="63"/>
      <c r="Q689" s="63"/>
      <c r="R689" s="62">
        <v>396466.4</v>
      </c>
      <c r="S689" s="62">
        <v>3757022.25</v>
      </c>
      <c r="T689" s="63"/>
      <c r="U689" s="63">
        <v>614.24072110434702</v>
      </c>
      <c r="V689" s="63">
        <v>614.24072110434702</v>
      </c>
      <c r="W689" s="59">
        <v>2024</v>
      </c>
      <c r="X689" s="6" t="e">
        <v>#REF!</v>
      </c>
      <c r="Z689" s="62">
        <f t="shared" si="186"/>
        <v>62533714.20789399</v>
      </c>
      <c r="AA689" s="55">
        <v>6056878.3300000001</v>
      </c>
      <c r="AB689" s="55">
        <v>3324136.3562038802</v>
      </c>
      <c r="AC689" s="55">
        <v>3513858.2605085401</v>
      </c>
      <c r="AD689" s="55">
        <v>2679346.7940094802</v>
      </c>
      <c r="AE689" s="55">
        <v>1070344.1973180601</v>
      </c>
      <c r="AF689" s="55"/>
      <c r="AG689" s="55">
        <v>285608.94385380001</v>
      </c>
      <c r="AH689" s="55">
        <v>0</v>
      </c>
      <c r="AI689" s="55">
        <v>10232040.6523188</v>
      </c>
      <c r="AJ689" s="55">
        <v>0</v>
      </c>
      <c r="AK689" s="55">
        <v>19865564.963810999</v>
      </c>
      <c r="AL689" s="55">
        <v>7812871.9105562996</v>
      </c>
      <c r="AM689" s="55">
        <v>5963728.8811999997</v>
      </c>
      <c r="AN689" s="63">
        <v>570673.40870000003</v>
      </c>
      <c r="AO689" s="64">
        <v>1158661.5094141399</v>
      </c>
      <c r="AP689" s="61">
        <f>+N689-'Приложение №2'!E689</f>
        <v>3.7592598237097263E-3</v>
      </c>
      <c r="AQ689" s="6">
        <f>1707386.79-112573.23-R436</f>
        <v>1198347.1600000001</v>
      </c>
      <c r="AR689" s="3">
        <f>+(K689*10+L689*20)*12*0.85</f>
        <v>387518.39999999997</v>
      </c>
      <c r="AS689" s="3">
        <f>+(K689*10+L689*20)*12*30-810211.65-S436</f>
        <v>11414087.16375926</v>
      </c>
      <c r="AT689" s="6">
        <f t="shared" si="185"/>
        <v>-7657064.9137592595</v>
      </c>
      <c r="AU689" s="6" t="e">
        <v>#REF!</v>
      </c>
      <c r="AV689" s="6" t="e">
        <v>#REF!</v>
      </c>
      <c r="AW689" s="62">
        <f t="shared" si="182"/>
        <v>2202974.3462407403</v>
      </c>
      <c r="AX689" s="55"/>
      <c r="AY689" s="55"/>
      <c r="AZ689" s="55"/>
      <c r="BA689" s="55"/>
      <c r="BB689" s="55"/>
      <c r="BC689" s="55"/>
      <c r="BD689" s="55"/>
      <c r="BE689" s="55"/>
      <c r="BF689" s="55"/>
      <c r="BG689" s="55"/>
      <c r="BH689" s="55"/>
      <c r="BI689" s="55">
        <v>1144560.06</v>
      </c>
      <c r="BJ689" s="55"/>
      <c r="BK689" s="63"/>
      <c r="BL689" s="64">
        <v>1058414.28624074</v>
      </c>
      <c r="BM689" s="62">
        <f t="shared" si="183"/>
        <v>2202974.3462407403</v>
      </c>
      <c r="BN689" s="55"/>
      <c r="BO689" s="55"/>
      <c r="BP689" s="55"/>
      <c r="BQ689" s="55"/>
      <c r="BR689" s="55"/>
      <c r="BS689" s="55"/>
      <c r="BT689" s="55"/>
      <c r="BU689" s="55"/>
      <c r="BV689" s="55"/>
      <c r="BW689" s="55"/>
      <c r="BX689" s="55"/>
      <c r="BY689" s="55">
        <v>1144560.06</v>
      </c>
      <c r="BZ689" s="55"/>
      <c r="CA689" s="63"/>
      <c r="CB689" s="64">
        <v>1058414.28624074</v>
      </c>
      <c r="CD689" s="75"/>
      <c r="CE689" s="6"/>
    </row>
    <row r="690" spans="1:84" x14ac:dyDescent="0.25">
      <c r="A690" s="105">
        <f t="shared" si="184"/>
        <v>668</v>
      </c>
      <c r="B690" s="106">
        <f t="shared" si="180"/>
        <v>208</v>
      </c>
      <c r="C690" s="107" t="s">
        <v>108</v>
      </c>
      <c r="D690" s="107" t="s">
        <v>191</v>
      </c>
      <c r="E690" s="128">
        <v>1977</v>
      </c>
      <c r="F690" s="128">
        <v>2013</v>
      </c>
      <c r="G690" s="128" t="s">
        <v>64</v>
      </c>
      <c r="H690" s="128">
        <v>9</v>
      </c>
      <c r="I690" s="128">
        <v>1</v>
      </c>
      <c r="J690" s="63">
        <v>2365.9899999999998</v>
      </c>
      <c r="K690" s="63">
        <v>1903.5</v>
      </c>
      <c r="L690" s="63">
        <v>136</v>
      </c>
      <c r="M690" s="129">
        <v>70</v>
      </c>
      <c r="N690" s="108">
        <v>23551130.809999999</v>
      </c>
      <c r="O690" s="63"/>
      <c r="P690" s="62">
        <v>4824951.79</v>
      </c>
      <c r="Q690" s="63"/>
      <c r="R690" s="62">
        <v>1788368.87</v>
      </c>
      <c r="S690" s="62">
        <v>11356179.630000001</v>
      </c>
      <c r="T690" s="62">
        <v>5581630.5199999996</v>
      </c>
      <c r="U690" s="63">
        <v>10343.456748720901</v>
      </c>
      <c r="V690" s="63">
        <v>1334.2830200640001</v>
      </c>
      <c r="W690" s="59">
        <v>2024</v>
      </c>
      <c r="X690" s="6" t="e">
        <v>#REF!</v>
      </c>
      <c r="Z690" s="62">
        <f t="shared" si="186"/>
        <v>26854433.359999958</v>
      </c>
      <c r="AA690" s="55">
        <v>3681294.5645548799</v>
      </c>
      <c r="AB690" s="55">
        <v>2450899.70770344</v>
      </c>
      <c r="AC690" s="55">
        <v>0</v>
      </c>
      <c r="AD690" s="55">
        <v>1346040.4200070801</v>
      </c>
      <c r="AE690" s="55">
        <v>491527.90003841999</v>
      </c>
      <c r="AF690" s="55"/>
      <c r="AG690" s="55">
        <v>205504.30800059999</v>
      </c>
      <c r="AH690" s="55">
        <v>0</v>
      </c>
      <c r="AI690" s="55">
        <v>0</v>
      </c>
      <c r="AJ690" s="55">
        <v>0</v>
      </c>
      <c r="AK690" s="55">
        <v>15124062.916324699</v>
      </c>
      <c r="AL690" s="55">
        <v>0</v>
      </c>
      <c r="AM690" s="55">
        <v>2777050.0558000002</v>
      </c>
      <c r="AN690" s="63">
        <v>268544.33360000001</v>
      </c>
      <c r="AO690" s="64">
        <v>509509.15397083998</v>
      </c>
      <c r="AP690" s="61">
        <f>+N690-'Приложение №2'!E690</f>
        <v>3.6865286529064178E-3</v>
      </c>
      <c r="AQ690" s="6">
        <f>1663489.1-R128</f>
        <v>1484712.57060442</v>
      </c>
      <c r="AR690" s="3">
        <f>+(K690*13.95+L690*23.65)*12*0.85</f>
        <v>303656.29499999993</v>
      </c>
      <c r="AS690" s="3">
        <f>+(K690*13.95+L690*23.65)*12*30-S128</f>
        <v>10217097.589999998</v>
      </c>
      <c r="AT690" s="6">
        <f t="shared" si="185"/>
        <v>1139082.0400000028</v>
      </c>
      <c r="AU690" s="6" t="e">
        <v>#REF!</v>
      </c>
      <c r="AV690" s="6" t="e">
        <v>#REF!</v>
      </c>
      <c r="AW690" s="110">
        <f t="shared" si="182"/>
        <v>19688769.921190269</v>
      </c>
      <c r="AX690" s="55"/>
      <c r="AY690" s="55"/>
      <c r="AZ690" s="55"/>
      <c r="BA690" s="55"/>
      <c r="BB690" s="55"/>
      <c r="BC690" s="55"/>
      <c r="BD690" s="55"/>
      <c r="BE690" s="55">
        <v>0</v>
      </c>
      <c r="BF690" s="55">
        <v>0</v>
      </c>
      <c r="BG690" s="55">
        <v>0</v>
      </c>
      <c r="BH690" s="55">
        <v>19267430.244876798</v>
      </c>
      <c r="BI690" s="55">
        <v>0</v>
      </c>
      <c r="BJ690" s="55"/>
      <c r="BK690" s="63"/>
      <c r="BL690" s="64">
        <v>421339.67631347198</v>
      </c>
      <c r="BM690" s="110">
        <f t="shared" si="183"/>
        <v>19688769.921190269</v>
      </c>
      <c r="BN690" s="55"/>
      <c r="BO690" s="55"/>
      <c r="BP690" s="55"/>
      <c r="BQ690" s="55"/>
      <c r="BR690" s="55"/>
      <c r="BS690" s="55"/>
      <c r="BT690" s="55"/>
      <c r="BU690" s="55">
        <v>0</v>
      </c>
      <c r="BV690" s="55">
        <v>0</v>
      </c>
      <c r="BW690" s="55">
        <v>0</v>
      </c>
      <c r="BX690" s="55">
        <v>19267430.244876798</v>
      </c>
      <c r="BY690" s="55">
        <v>0</v>
      </c>
      <c r="BZ690" s="55"/>
      <c r="CA690" s="63"/>
      <c r="CB690" s="64">
        <v>421339.67631347198</v>
      </c>
      <c r="CD690" s="75"/>
      <c r="CE690" s="6"/>
    </row>
    <row r="691" spans="1:84" x14ac:dyDescent="0.25">
      <c r="A691" s="105">
        <f t="shared" si="184"/>
        <v>669</v>
      </c>
      <c r="B691" s="106">
        <f t="shared" si="180"/>
        <v>209</v>
      </c>
      <c r="C691" s="107" t="s">
        <v>108</v>
      </c>
      <c r="D691" s="107" t="s">
        <v>386</v>
      </c>
      <c r="E691" s="128">
        <v>1977</v>
      </c>
      <c r="F691" s="128">
        <v>2013</v>
      </c>
      <c r="G691" s="128" t="s">
        <v>64</v>
      </c>
      <c r="H691" s="128">
        <v>9</v>
      </c>
      <c r="I691" s="128">
        <v>1</v>
      </c>
      <c r="J691" s="63">
        <v>2366.89</v>
      </c>
      <c r="K691" s="63">
        <v>1904.8</v>
      </c>
      <c r="L691" s="63">
        <v>41.8</v>
      </c>
      <c r="M691" s="129">
        <v>59</v>
      </c>
      <c r="N691" s="108">
        <v>24918756.199999999</v>
      </c>
      <c r="O691" s="63"/>
      <c r="P691" s="62">
        <v>7871809.7599999998</v>
      </c>
      <c r="Q691" s="63"/>
      <c r="R691" s="62">
        <v>1796287.79</v>
      </c>
      <c r="S691" s="62">
        <v>9248940.5999999996</v>
      </c>
      <c r="T691" s="62">
        <v>6001718.0499999998</v>
      </c>
      <c r="U691" s="63">
        <v>9884.3203175609106</v>
      </c>
      <c r="V691" s="63">
        <v>1335.2830200640001</v>
      </c>
      <c r="W691" s="59">
        <v>2024</v>
      </c>
      <c r="X691" s="6" t="e">
        <v>#REF!</v>
      </c>
      <c r="Z691" s="62">
        <f t="shared" si="186"/>
        <v>28541976.04124596</v>
      </c>
      <c r="AA691" s="55">
        <v>3719699.05</v>
      </c>
      <c r="AB691" s="55">
        <v>2452058.27684286</v>
      </c>
      <c r="AC691" s="55">
        <v>1492645.9296378</v>
      </c>
      <c r="AD691" s="55">
        <v>1346676.7170788399</v>
      </c>
      <c r="AE691" s="55">
        <v>491760.24805782002</v>
      </c>
      <c r="AF691" s="55"/>
      <c r="AG691" s="55">
        <v>205601.44794672</v>
      </c>
      <c r="AH691" s="55">
        <v>0</v>
      </c>
      <c r="AI691" s="55">
        <v>0</v>
      </c>
      <c r="AJ691" s="55">
        <v>0</v>
      </c>
      <c r="AK691" s="55">
        <v>15131212.272876799</v>
      </c>
      <c r="AL691" s="55">
        <v>0</v>
      </c>
      <c r="AM691" s="55">
        <v>2959194.6140999999</v>
      </c>
      <c r="AN691" s="63">
        <v>245562.47510000001</v>
      </c>
      <c r="AO691" s="64">
        <v>497565.00960511999</v>
      </c>
      <c r="AP691" s="61">
        <f>+N691-'Приложение №2'!E691</f>
        <v>9.1100186109542847E-3</v>
      </c>
      <c r="AQ691" s="6">
        <f>1515170.38-R320</f>
        <v>1515170.38</v>
      </c>
      <c r="AR691" s="3">
        <f>+(K691*13.95+L691*23.65)*12*0.85</f>
        <v>281117.40599999996</v>
      </c>
      <c r="AS691" s="3">
        <f>+(K691*13.95+L691*23.65)*12*30-S320</f>
        <v>9318074.7775602192</v>
      </c>
      <c r="AT691" s="6">
        <f t="shared" si="185"/>
        <v>-69134.177560219541</v>
      </c>
      <c r="AU691" s="6" t="e">
        <v>#REF!</v>
      </c>
      <c r="AV691" s="6" t="e">
        <v>#REF!</v>
      </c>
      <c r="AW691" s="110">
        <f t="shared" si="182"/>
        <v>18827653.340889979</v>
      </c>
      <c r="AX691" s="55"/>
      <c r="AY691" s="55"/>
      <c r="AZ691" s="55"/>
      <c r="BA691" s="55"/>
      <c r="BB691" s="55"/>
      <c r="BC691" s="55"/>
      <c r="BD691" s="55"/>
      <c r="BE691" s="55">
        <v>0</v>
      </c>
      <c r="BF691" s="55">
        <v>0</v>
      </c>
      <c r="BG691" s="55">
        <v>0</v>
      </c>
      <c r="BH691" s="55">
        <v>18389791.475693598</v>
      </c>
      <c r="BI691" s="55">
        <v>0</v>
      </c>
      <c r="BJ691" s="55"/>
      <c r="BK691" s="63"/>
      <c r="BL691" s="64">
        <v>437861.86519638199</v>
      </c>
      <c r="BM691" s="110">
        <f t="shared" si="183"/>
        <v>18827653.340889979</v>
      </c>
      <c r="BN691" s="55"/>
      <c r="BO691" s="55"/>
      <c r="BP691" s="55"/>
      <c r="BQ691" s="55"/>
      <c r="BR691" s="55"/>
      <c r="BS691" s="55"/>
      <c r="BT691" s="55"/>
      <c r="BU691" s="55">
        <v>0</v>
      </c>
      <c r="BV691" s="55">
        <v>0</v>
      </c>
      <c r="BW691" s="55">
        <v>0</v>
      </c>
      <c r="BX691" s="55">
        <v>18389791.475693598</v>
      </c>
      <c r="BY691" s="55">
        <v>0</v>
      </c>
      <c r="BZ691" s="55"/>
      <c r="CA691" s="63"/>
      <c r="CB691" s="64">
        <v>437861.86519638199</v>
      </c>
      <c r="CD691" s="75"/>
      <c r="CE691" s="6"/>
    </row>
    <row r="692" spans="1:84" x14ac:dyDescent="0.25">
      <c r="A692" s="105">
        <f t="shared" si="184"/>
        <v>670</v>
      </c>
      <c r="B692" s="106">
        <f t="shared" si="180"/>
        <v>210</v>
      </c>
      <c r="C692" s="107" t="s">
        <v>108</v>
      </c>
      <c r="D692" s="107" t="s">
        <v>193</v>
      </c>
      <c r="E692" s="128">
        <v>1973</v>
      </c>
      <c r="F692" s="128">
        <v>2013</v>
      </c>
      <c r="G692" s="128" t="s">
        <v>64</v>
      </c>
      <c r="H692" s="128">
        <v>5</v>
      </c>
      <c r="I692" s="128">
        <v>8</v>
      </c>
      <c r="J692" s="63">
        <v>6624.9</v>
      </c>
      <c r="K692" s="63">
        <v>5826</v>
      </c>
      <c r="L692" s="63">
        <v>239.3</v>
      </c>
      <c r="M692" s="129">
        <v>272</v>
      </c>
      <c r="N692" s="108">
        <v>83638884.829999998</v>
      </c>
      <c r="O692" s="63"/>
      <c r="P692" s="62">
        <v>5150859.88</v>
      </c>
      <c r="Q692" s="63"/>
      <c r="R692" s="62">
        <v>2299955.89</v>
      </c>
      <c r="S692" s="62">
        <v>23831388</v>
      </c>
      <c r="T692" s="62">
        <v>52356681.060000002</v>
      </c>
      <c r="U692" s="63">
        <v>13987.9459760831</v>
      </c>
      <c r="V692" s="63">
        <v>1337.2830200640001</v>
      </c>
      <c r="W692" s="59">
        <v>2024</v>
      </c>
      <c r="X692" s="6" t="e">
        <v>#REF!</v>
      </c>
      <c r="Z692" s="62">
        <f t="shared" si="186"/>
        <v>68280809.790000021</v>
      </c>
      <c r="AA692" s="55">
        <v>14487752.1113816</v>
      </c>
      <c r="AB692" s="55">
        <v>5162581.6814224804</v>
      </c>
      <c r="AC692" s="55">
        <v>5393749.1598622799</v>
      </c>
      <c r="AD692" s="55">
        <v>3376828.00437696</v>
      </c>
      <c r="AE692" s="55">
        <v>2066066.63772516</v>
      </c>
      <c r="AF692" s="55"/>
      <c r="AG692" s="55">
        <v>0</v>
      </c>
      <c r="AH692" s="55">
        <v>0</v>
      </c>
      <c r="AI692" s="55">
        <v>0</v>
      </c>
      <c r="AJ692" s="55">
        <v>0</v>
      </c>
      <c r="AK692" s="55">
        <v>13751557.8881974</v>
      </c>
      <c r="AL692" s="55">
        <v>14832664.840462999</v>
      </c>
      <c r="AM692" s="55">
        <v>7235033.8569999998</v>
      </c>
      <c r="AN692" s="63">
        <v>682808.09790000005</v>
      </c>
      <c r="AO692" s="64">
        <v>1291767.5116711401</v>
      </c>
      <c r="AP692" s="61">
        <f>+N692-'Приложение №2'!E692</f>
        <v>7.7587366104125977E-4</v>
      </c>
      <c r="AQ692" s="6">
        <f>3821279.57-R130</f>
        <v>1624733.2277599997</v>
      </c>
      <c r="AR692" s="3">
        <f>+(K692*10.5+L692*21)*12*0.85</f>
        <v>675222.66</v>
      </c>
      <c r="AS692" s="3">
        <f>+(K692*10.5+L692*21)*12*30-S130</f>
        <v>23831388.000000004</v>
      </c>
      <c r="AT692" s="6">
        <f t="shared" si="185"/>
        <v>0</v>
      </c>
      <c r="AU692" s="6" t="e">
        <v>#REF!</v>
      </c>
      <c r="AV692" s="6" t="e">
        <v>#REF!</v>
      </c>
      <c r="AW692" s="110">
        <f t="shared" si="182"/>
        <v>81493773.25665994</v>
      </c>
      <c r="AX692" s="55">
        <v>17221734.281132601</v>
      </c>
      <c r="AY692" s="55">
        <v>6964417.7973911902</v>
      </c>
      <c r="AZ692" s="55">
        <v>7361880.4179572798</v>
      </c>
      <c r="BA692" s="55">
        <v>5613454.0810143603</v>
      </c>
      <c r="BB692" s="55"/>
      <c r="BC692" s="55"/>
      <c r="BD692" s="55">
        <v>660810.72921234602</v>
      </c>
      <c r="BE692" s="55">
        <v>0</v>
      </c>
      <c r="BF692" s="55">
        <v>0</v>
      </c>
      <c r="BG692" s="55">
        <v>0</v>
      </c>
      <c r="BH692" s="55">
        <v>41620263.447435804</v>
      </c>
      <c r="BI692" s="55"/>
      <c r="BJ692" s="55">
        <v>290539.34000000003</v>
      </c>
      <c r="BK692" s="63">
        <v>24000</v>
      </c>
      <c r="BL692" s="64">
        <v>1736673.1625163599</v>
      </c>
      <c r="BM692" s="110">
        <f t="shared" si="183"/>
        <v>81493773.25665994</v>
      </c>
      <c r="BN692" s="55">
        <v>17221734.281132601</v>
      </c>
      <c r="BO692" s="55">
        <v>6964417.7973911902</v>
      </c>
      <c r="BP692" s="55">
        <v>7361880.4179572798</v>
      </c>
      <c r="BQ692" s="55">
        <v>5613454.0810143603</v>
      </c>
      <c r="BR692" s="55"/>
      <c r="BS692" s="55"/>
      <c r="BT692" s="55">
        <v>660810.72921234602</v>
      </c>
      <c r="BU692" s="55">
        <v>0</v>
      </c>
      <c r="BV692" s="55">
        <v>0</v>
      </c>
      <c r="BW692" s="55">
        <v>0</v>
      </c>
      <c r="BX692" s="55">
        <v>41620263.447435804</v>
      </c>
      <c r="BY692" s="55"/>
      <c r="BZ692" s="55">
        <v>290539.34000000003</v>
      </c>
      <c r="CA692" s="63">
        <v>24000</v>
      </c>
      <c r="CB692" s="64">
        <v>1736673.1625163599</v>
      </c>
      <c r="CD692" s="75"/>
      <c r="CE692" s="6"/>
    </row>
    <row r="693" spans="1:84" x14ac:dyDescent="0.25">
      <c r="A693" s="105">
        <f t="shared" si="184"/>
        <v>671</v>
      </c>
      <c r="B693" s="106">
        <f t="shared" si="180"/>
        <v>211</v>
      </c>
      <c r="C693" s="107" t="s">
        <v>108</v>
      </c>
      <c r="D693" s="107" t="s">
        <v>196</v>
      </c>
      <c r="E693" s="128">
        <v>1977</v>
      </c>
      <c r="F693" s="128">
        <v>2013</v>
      </c>
      <c r="G693" s="128" t="s">
        <v>64</v>
      </c>
      <c r="H693" s="128">
        <v>9</v>
      </c>
      <c r="I693" s="128">
        <v>1</v>
      </c>
      <c r="J693" s="63">
        <v>2362.6</v>
      </c>
      <c r="K693" s="63">
        <v>1902.4</v>
      </c>
      <c r="L693" s="63">
        <v>195.5</v>
      </c>
      <c r="M693" s="129">
        <v>72</v>
      </c>
      <c r="N693" s="108">
        <v>25561216.940000001</v>
      </c>
      <c r="O693" s="63"/>
      <c r="P693" s="62">
        <v>7231151.0899999999</v>
      </c>
      <c r="Q693" s="63"/>
      <c r="R693" s="62">
        <v>2306827.46</v>
      </c>
      <c r="S693" s="62">
        <v>11394109.710000001</v>
      </c>
      <c r="T693" s="62">
        <v>4629128.68</v>
      </c>
      <c r="U693" s="63">
        <v>10664.5584199513</v>
      </c>
      <c r="V693" s="63">
        <v>1341.2830200640001</v>
      </c>
      <c r="W693" s="59">
        <v>2024</v>
      </c>
      <c r="X693" s="6" t="e">
        <v>#REF!</v>
      </c>
      <c r="Z693" s="62">
        <f t="shared" si="186"/>
        <v>28501175.670387998</v>
      </c>
      <c r="AA693" s="55">
        <v>3719699.05</v>
      </c>
      <c r="AB693" s="55">
        <v>2447938.89958044</v>
      </c>
      <c r="AC693" s="55">
        <v>1490138.3398477801</v>
      </c>
      <c r="AD693" s="55">
        <v>1344414.3471276001</v>
      </c>
      <c r="AE693" s="55">
        <v>490934.10601116001</v>
      </c>
      <c r="AF693" s="55"/>
      <c r="AG693" s="55">
        <v>205256.04442224</v>
      </c>
      <c r="AH693" s="55">
        <v>0</v>
      </c>
      <c r="AI693" s="55">
        <v>0</v>
      </c>
      <c r="AJ693" s="55">
        <v>0</v>
      </c>
      <c r="AK693" s="55">
        <v>15105792.339437099</v>
      </c>
      <c r="AL693" s="55">
        <v>0</v>
      </c>
      <c r="AM693" s="55">
        <v>2953956.3437999999</v>
      </c>
      <c r="AN693" s="63">
        <v>246262.91500000001</v>
      </c>
      <c r="AO693" s="64">
        <v>496783.28516168002</v>
      </c>
      <c r="AP693" s="61">
        <f>+N693-'Приложение №2'!E693</f>
        <v>-4.6254061162471771E-3</v>
      </c>
      <c r="AQ693" s="6">
        <f>1676857.07-R133</f>
        <v>1676857.07</v>
      </c>
      <c r="AR693" s="3">
        <f>+(K693*13.95+L693*23.65)*12*0.85</f>
        <v>317852.96100000001</v>
      </c>
      <c r="AS693" s="3">
        <f>+(K693*13.95+L693*23.65)*12*30-S133</f>
        <v>9400959.3434900604</v>
      </c>
      <c r="AT693" s="6">
        <f t="shared" si="185"/>
        <v>1993150.3665099405</v>
      </c>
      <c r="AU693" s="6" t="e">
        <v>#REF!</v>
      </c>
      <c r="AV693" s="6" t="e">
        <v>#REF!</v>
      </c>
      <c r="AW693" s="110">
        <f t="shared" si="182"/>
        <v>20288255.93811547</v>
      </c>
      <c r="AX693" s="55"/>
      <c r="AY693" s="55"/>
      <c r="AZ693" s="55"/>
      <c r="BA693" s="55"/>
      <c r="BB693" s="55"/>
      <c r="BC693" s="55"/>
      <c r="BD693" s="55"/>
      <c r="BE693" s="55">
        <v>0</v>
      </c>
      <c r="BF693" s="55">
        <v>0</v>
      </c>
      <c r="BG693" s="55">
        <v>0</v>
      </c>
      <c r="BH693" s="55">
        <v>19819142.883416101</v>
      </c>
      <c r="BI693" s="55">
        <v>0</v>
      </c>
      <c r="BJ693" s="55"/>
      <c r="BK693" s="63"/>
      <c r="BL693" s="64">
        <v>469113.05469936703</v>
      </c>
      <c r="BM693" s="110">
        <f t="shared" si="183"/>
        <v>20288255.93811547</v>
      </c>
      <c r="BN693" s="55"/>
      <c r="BO693" s="55"/>
      <c r="BP693" s="55"/>
      <c r="BQ693" s="55"/>
      <c r="BR693" s="55"/>
      <c r="BS693" s="55"/>
      <c r="BT693" s="55"/>
      <c r="BU693" s="55">
        <v>0</v>
      </c>
      <c r="BV693" s="55">
        <v>0</v>
      </c>
      <c r="BW693" s="55">
        <v>0</v>
      </c>
      <c r="BX693" s="55">
        <v>19819142.883416101</v>
      </c>
      <c r="BY693" s="55">
        <v>0</v>
      </c>
      <c r="BZ693" s="55"/>
      <c r="CA693" s="63"/>
      <c r="CB693" s="64">
        <v>469113.05469936703</v>
      </c>
      <c r="CD693" s="75"/>
      <c r="CE693" s="6"/>
    </row>
    <row r="694" spans="1:84" x14ac:dyDescent="0.25">
      <c r="A694" s="105">
        <f t="shared" si="184"/>
        <v>672</v>
      </c>
      <c r="B694" s="106">
        <f t="shared" si="180"/>
        <v>212</v>
      </c>
      <c r="C694" s="107" t="s">
        <v>108</v>
      </c>
      <c r="D694" s="107" t="s">
        <v>641</v>
      </c>
      <c r="E694" s="128">
        <v>1995</v>
      </c>
      <c r="F694" s="128">
        <v>2013</v>
      </c>
      <c r="G694" s="128" t="s">
        <v>64</v>
      </c>
      <c r="H694" s="128">
        <v>4</v>
      </c>
      <c r="I694" s="128">
        <v>3</v>
      </c>
      <c r="J694" s="63">
        <v>1839</v>
      </c>
      <c r="K694" s="63">
        <v>1773.6</v>
      </c>
      <c r="L694" s="63">
        <v>0</v>
      </c>
      <c r="M694" s="129">
        <v>81</v>
      </c>
      <c r="N694" s="108">
        <v>10706532.710000001</v>
      </c>
      <c r="O694" s="63"/>
      <c r="P694" s="62">
        <v>590238.24</v>
      </c>
      <c r="Q694" s="63"/>
      <c r="R694" s="62">
        <v>1091904.8700000001</v>
      </c>
      <c r="S694" s="62">
        <v>6704208</v>
      </c>
      <c r="T694" s="62">
        <v>2320181.6</v>
      </c>
      <c r="U694" s="63">
        <v>6733.3702283360999</v>
      </c>
      <c r="V694" s="63">
        <v>1342.2830200640001</v>
      </c>
      <c r="W694" s="59">
        <v>2024</v>
      </c>
      <c r="X694" s="6" t="e">
        <v>#REF!</v>
      </c>
      <c r="Z694" s="62">
        <f t="shared" si="186"/>
        <v>23166447.680000003</v>
      </c>
      <c r="AA694" s="55">
        <v>4256960.5015337402</v>
      </c>
      <c r="AB694" s="55">
        <v>1516930.03454706</v>
      </c>
      <c r="AC694" s="55">
        <v>1584854.3608997399</v>
      </c>
      <c r="AD694" s="55">
        <v>992219.03665163997</v>
      </c>
      <c r="AE694" s="55">
        <v>0</v>
      </c>
      <c r="AF694" s="55"/>
      <c r="AG694" s="55">
        <v>163351.22964971999</v>
      </c>
      <c r="AH694" s="55">
        <v>0</v>
      </c>
      <c r="AI694" s="55">
        <v>7782371.5100418003</v>
      </c>
      <c r="AJ694" s="55">
        <v>0</v>
      </c>
      <c r="AK694" s="55">
        <v>4040643.3169443598</v>
      </c>
      <c r="AL694" s="55">
        <v>0</v>
      </c>
      <c r="AM694" s="55">
        <v>2152716.9961000001</v>
      </c>
      <c r="AN694" s="63">
        <v>231664.4768</v>
      </c>
      <c r="AO694" s="64">
        <v>444736.21683193999</v>
      </c>
      <c r="AP694" s="61">
        <f>+N694-'Приложение №2'!E694</f>
        <v>7.2859413921833038E-3</v>
      </c>
      <c r="AQ694" s="65">
        <v>901952.31</v>
      </c>
      <c r="AR694" s="3">
        <f>+(K694*10.5+L694*21)*12*0.85</f>
        <v>189952.55999999997</v>
      </c>
      <c r="AS694" s="3">
        <f>+(K694*10.5+L694*21)*12*30</f>
        <v>6704207.9999999991</v>
      </c>
      <c r="AT694" s="6">
        <f t="shared" si="185"/>
        <v>0</v>
      </c>
      <c r="AU694" s="6" t="e">
        <v>#REF!</v>
      </c>
      <c r="AV694" s="6" t="e">
        <v>#REF!</v>
      </c>
      <c r="AW694" s="110">
        <f t="shared" si="182"/>
        <v>11942305.436976912</v>
      </c>
      <c r="AX694" s="55">
        <v>5297559.1729573803</v>
      </c>
      <c r="AY694" s="55">
        <v>2147559.4265640499</v>
      </c>
      <c r="AZ694" s="55">
        <v>2251281.75663854</v>
      </c>
      <c r="BA694" s="55">
        <v>1797107.10810288</v>
      </c>
      <c r="BB694" s="55">
        <v>0</v>
      </c>
      <c r="BC694" s="55"/>
      <c r="BD694" s="55">
        <v>193232.636362755</v>
      </c>
      <c r="BE694" s="55">
        <v>0</v>
      </c>
      <c r="BF694" s="55"/>
      <c r="BG694" s="55"/>
      <c r="BH694" s="55"/>
      <c r="BI694" s="55">
        <v>0</v>
      </c>
      <c r="BJ694" s="55"/>
      <c r="BK694" s="63"/>
      <c r="BL694" s="64">
        <v>255565.336351306</v>
      </c>
      <c r="BM694" s="110">
        <f t="shared" si="183"/>
        <v>11942305.436976912</v>
      </c>
      <c r="BN694" s="55">
        <v>5297559.1729573803</v>
      </c>
      <c r="BO694" s="55">
        <v>2147559.4265640499</v>
      </c>
      <c r="BP694" s="55">
        <v>2251281.75663854</v>
      </c>
      <c r="BQ694" s="55">
        <v>1797107.10810288</v>
      </c>
      <c r="BR694" s="55">
        <v>0</v>
      </c>
      <c r="BS694" s="55"/>
      <c r="BT694" s="55">
        <v>193232.636362755</v>
      </c>
      <c r="BU694" s="55">
        <v>0</v>
      </c>
      <c r="BV694" s="55"/>
      <c r="BW694" s="55"/>
      <c r="BX694" s="55"/>
      <c r="BY694" s="55">
        <v>0</v>
      </c>
      <c r="BZ694" s="55"/>
      <c r="CA694" s="63"/>
      <c r="CB694" s="64">
        <v>255565.336351306</v>
      </c>
      <c r="CD694" s="75"/>
      <c r="CE694" s="6"/>
    </row>
    <row r="695" spans="1:84" x14ac:dyDescent="0.25">
      <c r="A695" s="105">
        <f t="shared" si="184"/>
        <v>673</v>
      </c>
      <c r="B695" s="106">
        <f t="shared" si="180"/>
        <v>213</v>
      </c>
      <c r="C695" s="107" t="s">
        <v>642</v>
      </c>
      <c r="D695" s="63" t="s">
        <v>643</v>
      </c>
      <c r="E695" s="181" t="s">
        <v>304</v>
      </c>
      <c r="F695" s="181"/>
      <c r="G695" s="181" t="s">
        <v>439</v>
      </c>
      <c r="H695" s="181" t="s">
        <v>102</v>
      </c>
      <c r="I695" s="181" t="s">
        <v>145</v>
      </c>
      <c r="J695" s="63">
        <v>1202.5</v>
      </c>
      <c r="K695" s="63">
        <v>1106.0999999999999</v>
      </c>
      <c r="L695" s="63">
        <v>0</v>
      </c>
      <c r="M695" s="63">
        <v>32</v>
      </c>
      <c r="N695" s="108">
        <v>13430517.439999999</v>
      </c>
      <c r="O695" s="63"/>
      <c r="P695" s="62">
        <v>3262075</v>
      </c>
      <c r="Q695" s="62">
        <v>1500000</v>
      </c>
      <c r="R695" s="108">
        <v>163248.12</v>
      </c>
      <c r="S695" s="62">
        <v>1393686</v>
      </c>
      <c r="T695" s="62">
        <v>7111508.3200000003</v>
      </c>
      <c r="U695" s="63">
        <v>11976.991230391201</v>
      </c>
      <c r="V695" s="63">
        <v>11976.991230391201</v>
      </c>
      <c r="W695" s="59">
        <v>2024</v>
      </c>
      <c r="X695" s="6"/>
      <c r="Z695" s="62"/>
      <c r="AA695" s="55"/>
      <c r="AB695" s="55"/>
      <c r="AC695" s="55"/>
      <c r="AD695" s="55"/>
      <c r="AE695" s="55"/>
      <c r="AF695" s="55"/>
      <c r="AG695" s="55"/>
      <c r="AH695" s="55"/>
      <c r="AI695" s="55"/>
      <c r="AJ695" s="55"/>
      <c r="AK695" s="55"/>
      <c r="AL695" s="55"/>
      <c r="AM695" s="55"/>
      <c r="AN695" s="63"/>
      <c r="AO695" s="64"/>
      <c r="AP695" s="61">
        <f>+N695-'Приложение №2'!E695</f>
        <v>-3.3747069537639618E-3</v>
      </c>
      <c r="AQ695" s="1">
        <v>316908.82</v>
      </c>
      <c r="AR695" s="3">
        <v>84165.361199999999</v>
      </c>
      <c r="AS695" s="3">
        <v>1393686</v>
      </c>
      <c r="AT695" s="6"/>
      <c r="AU695" s="6"/>
      <c r="AV695" s="6"/>
      <c r="AW695" s="110">
        <f t="shared" si="182"/>
        <v>13247749.999935677</v>
      </c>
      <c r="BF695" s="55">
        <v>4736947.1480660001</v>
      </c>
      <c r="BH695" s="55">
        <v>8083838.60849497</v>
      </c>
      <c r="BJ695" s="55"/>
      <c r="BK695" s="63">
        <v>146599.62535876001</v>
      </c>
      <c r="BL695" s="64">
        <v>280364.61801594601</v>
      </c>
      <c r="BM695" s="110">
        <f t="shared" si="183"/>
        <v>13247749.999935677</v>
      </c>
      <c r="BV695" s="55">
        <v>4736947.1480660001</v>
      </c>
      <c r="BX695" s="55">
        <v>8083838.60849497</v>
      </c>
      <c r="BZ695" s="55"/>
      <c r="CA695" s="63">
        <v>146599.62535876001</v>
      </c>
      <c r="CB695" s="64">
        <v>280364.61801594601</v>
      </c>
      <c r="CD695" s="75"/>
      <c r="CE695" s="6"/>
    </row>
    <row r="696" spans="1:84" x14ac:dyDescent="0.25">
      <c r="A696" s="105">
        <f t="shared" si="184"/>
        <v>674</v>
      </c>
      <c r="B696" s="106">
        <f t="shared" si="180"/>
        <v>214</v>
      </c>
      <c r="C696" s="107" t="s">
        <v>642</v>
      </c>
      <c r="D696" s="144" t="s">
        <v>644</v>
      </c>
      <c r="E696" s="182" t="s">
        <v>449</v>
      </c>
      <c r="F696" s="182"/>
      <c r="G696" s="182" t="s">
        <v>439</v>
      </c>
      <c r="H696" s="182" t="s">
        <v>102</v>
      </c>
      <c r="I696" s="182" t="s">
        <v>184</v>
      </c>
      <c r="J696" s="144">
        <v>1154.8</v>
      </c>
      <c r="K696" s="144">
        <v>1069.2</v>
      </c>
      <c r="L696" s="144">
        <v>0</v>
      </c>
      <c r="M696" s="144">
        <v>52</v>
      </c>
      <c r="N696" s="108">
        <v>14278224.949999999</v>
      </c>
      <c r="O696" s="144"/>
      <c r="P696" s="183">
        <v>3446501.06</v>
      </c>
      <c r="Q696" s="183">
        <v>1500000</v>
      </c>
      <c r="R696" s="108">
        <v>442696.07</v>
      </c>
      <c r="S696" s="183">
        <v>1347192</v>
      </c>
      <c r="T696" s="62">
        <v>7541835.8200000003</v>
      </c>
      <c r="U696" s="63">
        <v>11976.991230391201</v>
      </c>
      <c r="V696" s="63">
        <v>11976.991230391201</v>
      </c>
      <c r="W696" s="59">
        <v>2024</v>
      </c>
      <c r="X696" s="6"/>
      <c r="Z696" s="62"/>
      <c r="AA696" s="55"/>
      <c r="AB696" s="55"/>
      <c r="AC696" s="55"/>
      <c r="AD696" s="55"/>
      <c r="AE696" s="55"/>
      <c r="AF696" s="55"/>
      <c r="AG696" s="55"/>
      <c r="AH696" s="55"/>
      <c r="AI696" s="55"/>
      <c r="AJ696" s="55"/>
      <c r="AK696" s="55"/>
      <c r="AL696" s="55"/>
      <c r="AM696" s="55"/>
      <c r="AN696" s="63"/>
      <c r="AO696" s="64"/>
      <c r="AP696" s="61">
        <f>+N696-'Приложение №2'!E696</f>
        <v>8.3326678723096848E-3</v>
      </c>
      <c r="AQ696" s="1">
        <v>367919.13</v>
      </c>
      <c r="AR696" s="3">
        <v>81357.566399999996</v>
      </c>
      <c r="AS696" s="3">
        <v>1347192</v>
      </c>
      <c r="AT696" s="6"/>
      <c r="AU696" s="6"/>
      <c r="AV696" s="6"/>
      <c r="AW696" s="110">
        <f t="shared" si="182"/>
        <v>12805799.023534242</v>
      </c>
      <c r="BF696" s="55">
        <v>4578920.4327928396</v>
      </c>
      <c r="BH696" s="55">
        <v>7814158.0690740701</v>
      </c>
      <c r="BJ696" s="55"/>
      <c r="BK696" s="63">
        <v>141708.995057939</v>
      </c>
      <c r="BL696" s="64">
        <v>271011.52660939301</v>
      </c>
      <c r="BM696" s="110">
        <f t="shared" si="183"/>
        <v>12805799.023534242</v>
      </c>
      <c r="BV696" s="55">
        <v>4578920.4327928396</v>
      </c>
      <c r="BX696" s="55">
        <v>7814158.0690740701</v>
      </c>
      <c r="BZ696" s="55"/>
      <c r="CA696" s="63">
        <v>141708.995057939</v>
      </c>
      <c r="CB696" s="64">
        <v>271011.52660939301</v>
      </c>
      <c r="CD696" s="6"/>
      <c r="CE696" s="6"/>
    </row>
    <row r="697" spans="1:84" x14ac:dyDescent="0.25">
      <c r="A697" s="105">
        <f t="shared" si="184"/>
        <v>675</v>
      </c>
      <c r="B697" s="106">
        <f t="shared" si="180"/>
        <v>215</v>
      </c>
      <c r="C697" s="107" t="s">
        <v>642</v>
      </c>
      <c r="D697" s="180" t="s">
        <v>645</v>
      </c>
      <c r="E697" s="184" t="s">
        <v>100</v>
      </c>
      <c r="F697" s="184"/>
      <c r="G697" s="128" t="s">
        <v>439</v>
      </c>
      <c r="H697" s="184" t="s">
        <v>102</v>
      </c>
      <c r="I697" s="184" t="s">
        <v>145</v>
      </c>
      <c r="J697" s="180">
        <v>1147.5</v>
      </c>
      <c r="K697" s="180">
        <v>1147.5</v>
      </c>
      <c r="L697" s="180">
        <v>0</v>
      </c>
      <c r="M697" s="180">
        <v>39</v>
      </c>
      <c r="N697" s="108">
        <v>14005450.359999999</v>
      </c>
      <c r="O697" s="180"/>
      <c r="P697" s="63"/>
      <c r="Q697" s="75"/>
      <c r="R697" s="108">
        <v>189992.46</v>
      </c>
      <c r="S697" s="74">
        <v>1445850</v>
      </c>
      <c r="T697" s="62">
        <v>12369607.9</v>
      </c>
      <c r="U697" s="63">
        <v>11976.991230391201</v>
      </c>
      <c r="V697" s="63">
        <v>11976.991230391201</v>
      </c>
      <c r="W697" s="59">
        <v>2024</v>
      </c>
      <c r="X697" s="6"/>
      <c r="Z697" s="62"/>
      <c r="AA697" s="55"/>
      <c r="AB697" s="55"/>
      <c r="AC697" s="55"/>
      <c r="AD697" s="55"/>
      <c r="AE697" s="55"/>
      <c r="AF697" s="55"/>
      <c r="AG697" s="55"/>
      <c r="AH697" s="55"/>
      <c r="AI697" s="55"/>
      <c r="AJ697" s="55"/>
      <c r="AK697" s="55"/>
      <c r="AL697" s="55"/>
      <c r="AM697" s="55"/>
      <c r="AN697" s="63"/>
      <c r="AO697" s="64"/>
      <c r="AP697" s="61">
        <f>+N697-'Приложение №2'!E697</f>
        <v>-4.3146871030330658E-3</v>
      </c>
      <c r="AQ697" s="1">
        <v>316983.67</v>
      </c>
      <c r="AR697" s="3">
        <v>87315.57</v>
      </c>
      <c r="AS697" s="3">
        <v>1445850</v>
      </c>
      <c r="AT697" s="6"/>
      <c r="AU697" s="6"/>
      <c r="AV697" s="6"/>
      <c r="AW697" s="110">
        <f t="shared" si="182"/>
        <v>13743597.436873877</v>
      </c>
      <c r="BF697" s="55">
        <v>4914245.41398222</v>
      </c>
      <c r="BH697" s="55">
        <v>8386407.0185769703</v>
      </c>
      <c r="BJ697" s="55"/>
      <c r="BK697" s="63">
        <v>152086.67398895</v>
      </c>
      <c r="BL697" s="64">
        <v>290858.33032573701</v>
      </c>
      <c r="BM697" s="110">
        <f t="shared" si="183"/>
        <v>13743597.436873877</v>
      </c>
      <c r="BV697" s="55">
        <v>4914245.41398222</v>
      </c>
      <c r="BX697" s="55">
        <v>8386407.0185769703</v>
      </c>
      <c r="BZ697" s="55"/>
      <c r="CA697" s="63">
        <v>152086.67398895</v>
      </c>
      <c r="CB697" s="64">
        <v>290858.33032573701</v>
      </c>
      <c r="CD697" s="75"/>
      <c r="CE697" s="6"/>
    </row>
    <row r="698" spans="1:84" x14ac:dyDescent="0.25">
      <c r="A698" s="105">
        <f t="shared" si="184"/>
        <v>676</v>
      </c>
      <c r="B698" s="106">
        <f t="shared" si="180"/>
        <v>216</v>
      </c>
      <c r="C698" s="107" t="s">
        <v>389</v>
      </c>
      <c r="D698" s="107" t="s">
        <v>646</v>
      </c>
      <c r="E698" s="128">
        <v>1964</v>
      </c>
      <c r="F698" s="128">
        <v>1964</v>
      </c>
      <c r="G698" s="128" t="s">
        <v>64</v>
      </c>
      <c r="H698" s="128">
        <v>2</v>
      </c>
      <c r="I698" s="128">
        <v>2</v>
      </c>
      <c r="J698" s="63">
        <v>660.09</v>
      </c>
      <c r="K698" s="63">
        <v>608.58000000000004</v>
      </c>
      <c r="L698" s="63">
        <v>0</v>
      </c>
      <c r="M698" s="129">
        <v>32</v>
      </c>
      <c r="N698" s="108">
        <v>620383.79</v>
      </c>
      <c r="O698" s="63"/>
      <c r="P698" s="63"/>
      <c r="Q698" s="63"/>
      <c r="R698" s="62">
        <v>444434.77</v>
      </c>
      <c r="S698" s="62">
        <v>175949.02</v>
      </c>
      <c r="T698" s="63"/>
      <c r="U698" s="63">
        <v>1019.39562469244</v>
      </c>
      <c r="V698" s="63">
        <v>1345.2830200640001</v>
      </c>
      <c r="W698" s="59">
        <v>2024</v>
      </c>
      <c r="X698" s="6" t="e">
        <v>#REF!</v>
      </c>
      <c r="Z698" s="62">
        <f t="shared" ref="Z698:Z717" si="187">SUM(AA698:AO698)</f>
        <v>4551398.5399999991</v>
      </c>
      <c r="AA698" s="55">
        <v>1783504.6065618601</v>
      </c>
      <c r="AB698" s="55">
        <v>1085237.2512912001</v>
      </c>
      <c r="AC698" s="55">
        <v>511364.19748848001</v>
      </c>
      <c r="AD698" s="55">
        <v>435798.11897831998</v>
      </c>
      <c r="AE698" s="55">
        <v>0</v>
      </c>
      <c r="AF698" s="55"/>
      <c r="AG698" s="55">
        <v>189558.68370851999</v>
      </c>
      <c r="AH698" s="55">
        <v>0</v>
      </c>
      <c r="AI698" s="55">
        <v>0</v>
      </c>
      <c r="AJ698" s="55">
        <v>0</v>
      </c>
      <c r="AK698" s="55">
        <v>0</v>
      </c>
      <c r="AL698" s="55">
        <v>0</v>
      </c>
      <c r="AM698" s="55">
        <v>412830.33630000002</v>
      </c>
      <c r="AN698" s="63">
        <v>45513.985399999998</v>
      </c>
      <c r="AO698" s="64">
        <v>87591.360271619997</v>
      </c>
      <c r="AP698" s="61">
        <f>+N698-'Приложение №2'!E698</f>
        <v>7.2467711288481951E-4</v>
      </c>
      <c r="AQ698" s="65">
        <v>379255.85</v>
      </c>
      <c r="AR698" s="3">
        <f>+(K698*10.5+L698*21)*12*0.85</f>
        <v>65178.917999999998</v>
      </c>
      <c r="AS698" s="3">
        <f>+(K698*10.5+L698*21)*12*30</f>
        <v>2300432.4</v>
      </c>
      <c r="AT698" s="6">
        <f t="shared" ref="AT698:AT734" si="188">+S698-AS698</f>
        <v>-2124483.38</v>
      </c>
      <c r="AU698" s="6" t="e">
        <v>#REF!</v>
      </c>
      <c r="AV698" s="6" t="e">
        <v>#REF!</v>
      </c>
      <c r="AW698" s="110">
        <f t="shared" si="182"/>
        <v>620383.78927532292</v>
      </c>
      <c r="AX698" s="55"/>
      <c r="AY698" s="55"/>
      <c r="AZ698" s="55">
        <v>607107.57618483098</v>
      </c>
      <c r="BA698" s="55"/>
      <c r="BB698" s="55"/>
      <c r="BC698" s="55"/>
      <c r="BD698" s="55"/>
      <c r="BE698" s="55">
        <v>0</v>
      </c>
      <c r="BF698" s="55">
        <v>0</v>
      </c>
      <c r="BG698" s="55">
        <v>0</v>
      </c>
      <c r="BH698" s="55">
        <v>0</v>
      </c>
      <c r="BI698" s="55">
        <v>0</v>
      </c>
      <c r="BJ698" s="55"/>
      <c r="BK698" s="63"/>
      <c r="BL698" s="64">
        <v>13276.213090491899</v>
      </c>
      <c r="BM698" s="110">
        <f t="shared" si="183"/>
        <v>620383.78927532292</v>
      </c>
      <c r="BN698" s="55"/>
      <c r="BO698" s="55"/>
      <c r="BP698" s="55">
        <v>607107.57618483098</v>
      </c>
      <c r="BQ698" s="55"/>
      <c r="BR698" s="55"/>
      <c r="BS698" s="55"/>
      <c r="BT698" s="55"/>
      <c r="BU698" s="55">
        <v>0</v>
      </c>
      <c r="BV698" s="55">
        <v>0</v>
      </c>
      <c r="BW698" s="55">
        <v>0</v>
      </c>
      <c r="BX698" s="55">
        <v>0</v>
      </c>
      <c r="BY698" s="55">
        <v>0</v>
      </c>
      <c r="BZ698" s="55"/>
      <c r="CA698" s="63"/>
      <c r="CB698" s="64">
        <v>13276.213090491899</v>
      </c>
      <c r="CD698" s="75"/>
      <c r="CE698" s="6"/>
    </row>
    <row r="699" spans="1:84" x14ac:dyDescent="0.25">
      <c r="A699" s="105">
        <f t="shared" si="184"/>
        <v>677</v>
      </c>
      <c r="B699" s="106">
        <f t="shared" si="180"/>
        <v>217</v>
      </c>
      <c r="C699" s="107" t="s">
        <v>204</v>
      </c>
      <c r="D699" s="107" t="s">
        <v>647</v>
      </c>
      <c r="E699" s="128">
        <v>1981</v>
      </c>
      <c r="F699" s="128">
        <v>2010</v>
      </c>
      <c r="G699" s="128" t="s">
        <v>64</v>
      </c>
      <c r="H699" s="128">
        <v>2</v>
      </c>
      <c r="I699" s="128">
        <v>2</v>
      </c>
      <c r="J699" s="63">
        <v>774.6</v>
      </c>
      <c r="K699" s="63">
        <v>714.53</v>
      </c>
      <c r="L699" s="63">
        <v>0</v>
      </c>
      <c r="M699" s="129">
        <v>28</v>
      </c>
      <c r="N699" s="108">
        <v>4237829.1900000004</v>
      </c>
      <c r="O699" s="63"/>
      <c r="P699" s="62">
        <v>503219.87</v>
      </c>
      <c r="Q699" s="63"/>
      <c r="R699" s="62">
        <v>544907.82999999996</v>
      </c>
      <c r="S699" s="62">
        <v>2700923.4</v>
      </c>
      <c r="T699" s="62">
        <v>488778.09</v>
      </c>
      <c r="U699" s="63">
        <v>5821.4066959223201</v>
      </c>
      <c r="V699" s="63">
        <v>1346.2830200640001</v>
      </c>
      <c r="W699" s="59">
        <v>2024</v>
      </c>
      <c r="X699" s="6" t="e">
        <v>#REF!</v>
      </c>
      <c r="Z699" s="62">
        <f t="shared" si="187"/>
        <v>3874188.8</v>
      </c>
      <c r="AA699" s="55">
        <v>2090429.35269168</v>
      </c>
      <c r="AB699" s="55">
        <v>0</v>
      </c>
      <c r="AC699" s="55">
        <v>599365.27642446</v>
      </c>
      <c r="AD699" s="55">
        <v>510794.96876771998</v>
      </c>
      <c r="AE699" s="55">
        <v>0</v>
      </c>
      <c r="AF699" s="55"/>
      <c r="AG699" s="55">
        <v>222179.99235767999</v>
      </c>
      <c r="AH699" s="55">
        <v>0</v>
      </c>
      <c r="AI699" s="55">
        <v>0</v>
      </c>
      <c r="AJ699" s="55">
        <v>0</v>
      </c>
      <c r="AK699" s="55">
        <v>0</v>
      </c>
      <c r="AL699" s="55">
        <v>0</v>
      </c>
      <c r="AM699" s="55">
        <v>337828.2831</v>
      </c>
      <c r="AN699" s="63">
        <v>38741.887999999999</v>
      </c>
      <c r="AO699" s="64">
        <v>74849.038658460006</v>
      </c>
      <c r="AP699" s="61">
        <f>+N699-'Приложение №2'!E699</f>
        <v>-5.4330462589859962E-3</v>
      </c>
      <c r="AQ699" s="65">
        <v>468381.67</v>
      </c>
      <c r="AR699" s="3">
        <f>+(K699*10.5+L699*21)*12*0.85</f>
        <v>76526.163</v>
      </c>
      <c r="AS699" s="3">
        <f>+(K699*10.5+L699*21)*12*30</f>
        <v>2700923.4</v>
      </c>
      <c r="AT699" s="6">
        <f t="shared" si="188"/>
        <v>0</v>
      </c>
      <c r="AU699" s="6" t="e">
        <v>#REF!</v>
      </c>
      <c r="AV699" s="6" t="e">
        <v>#REF!</v>
      </c>
      <c r="AW699" s="110">
        <f t="shared" si="182"/>
        <v>4159569.7264373768</v>
      </c>
      <c r="AX699" s="55">
        <v>2486057.12100433</v>
      </c>
      <c r="AY699" s="55">
        <v>0</v>
      </c>
      <c r="AZ699" s="55">
        <v>712801.23633926106</v>
      </c>
      <c r="BA699" s="55">
        <v>607467.74786197406</v>
      </c>
      <c r="BB699" s="55">
        <v>0</v>
      </c>
      <c r="BC699" s="55"/>
      <c r="BD699" s="55">
        <v>264228.82908605202</v>
      </c>
      <c r="BE699" s="55">
        <v>0</v>
      </c>
      <c r="BF699" s="55">
        <v>0</v>
      </c>
      <c r="BG699" s="55">
        <v>0</v>
      </c>
      <c r="BH699" s="55">
        <v>0</v>
      </c>
      <c r="BI699" s="55">
        <v>0</v>
      </c>
      <c r="BJ699" s="55"/>
      <c r="BK699" s="63"/>
      <c r="BL699" s="64">
        <v>89014.792145759799</v>
      </c>
      <c r="BM699" s="110">
        <f t="shared" si="183"/>
        <v>4159569.7264373768</v>
      </c>
      <c r="BN699" s="55">
        <v>2486057.12100433</v>
      </c>
      <c r="BO699" s="55">
        <v>0</v>
      </c>
      <c r="BP699" s="55">
        <v>712801.23633926106</v>
      </c>
      <c r="BQ699" s="55">
        <v>607467.74786197406</v>
      </c>
      <c r="BR699" s="55">
        <v>0</v>
      </c>
      <c r="BS699" s="55"/>
      <c r="BT699" s="55">
        <v>264228.82908605202</v>
      </c>
      <c r="BU699" s="55">
        <v>0</v>
      </c>
      <c r="BV699" s="55">
        <v>0</v>
      </c>
      <c r="BW699" s="55">
        <v>0</v>
      </c>
      <c r="BX699" s="55">
        <v>0</v>
      </c>
      <c r="BY699" s="55">
        <v>0</v>
      </c>
      <c r="BZ699" s="55"/>
      <c r="CA699" s="63"/>
      <c r="CB699" s="64">
        <v>89014.792145759799</v>
      </c>
      <c r="CD699" s="75"/>
      <c r="CE699" s="6"/>
    </row>
    <row r="700" spans="1:84" x14ac:dyDescent="0.25">
      <c r="A700" s="105">
        <f t="shared" si="184"/>
        <v>678</v>
      </c>
      <c r="B700" s="106">
        <f t="shared" si="180"/>
        <v>218</v>
      </c>
      <c r="C700" s="107" t="s">
        <v>204</v>
      </c>
      <c r="D700" s="107" t="s">
        <v>205</v>
      </c>
      <c r="E700" s="128">
        <v>1983</v>
      </c>
      <c r="F700" s="128">
        <v>1983</v>
      </c>
      <c r="G700" s="128" t="s">
        <v>64</v>
      </c>
      <c r="H700" s="128">
        <v>2</v>
      </c>
      <c r="I700" s="128">
        <v>2</v>
      </c>
      <c r="J700" s="63">
        <v>910.77</v>
      </c>
      <c r="K700" s="63">
        <v>841.26</v>
      </c>
      <c r="L700" s="63">
        <v>0</v>
      </c>
      <c r="M700" s="129">
        <v>34</v>
      </c>
      <c r="N700" s="108">
        <v>857576.77</v>
      </c>
      <c r="O700" s="63"/>
      <c r="P700" s="62">
        <v>299229.83</v>
      </c>
      <c r="Q700" s="63"/>
      <c r="R700" s="62">
        <v>187044.89</v>
      </c>
      <c r="S700" s="62">
        <v>371302.05</v>
      </c>
      <c r="T700" s="63"/>
      <c r="U700" s="63">
        <v>1019.39562469244</v>
      </c>
      <c r="V700" s="63">
        <v>1347.2830200640001</v>
      </c>
      <c r="W700" s="59">
        <v>2024</v>
      </c>
      <c r="X700" s="6" t="e">
        <v>#REF!</v>
      </c>
      <c r="Z700" s="62">
        <f t="shared" si="187"/>
        <v>6295969.4100000001</v>
      </c>
      <c r="AA700" s="55">
        <v>2467129.6784152202</v>
      </c>
      <c r="AB700" s="55">
        <v>1501213.4170404</v>
      </c>
      <c r="AC700" s="55">
        <v>707372.31680261996</v>
      </c>
      <c r="AD700" s="55">
        <v>602841.43419444002</v>
      </c>
      <c r="AE700" s="55">
        <v>0</v>
      </c>
      <c r="AF700" s="55"/>
      <c r="AG700" s="55">
        <v>262217.35903776</v>
      </c>
      <c r="AH700" s="55">
        <v>0</v>
      </c>
      <c r="AI700" s="55">
        <v>0</v>
      </c>
      <c r="AJ700" s="55">
        <v>0</v>
      </c>
      <c r="AK700" s="55">
        <v>0</v>
      </c>
      <c r="AL700" s="55">
        <v>0</v>
      </c>
      <c r="AM700" s="55">
        <v>571070.00049999997</v>
      </c>
      <c r="AN700" s="63">
        <v>62959.694100000001</v>
      </c>
      <c r="AO700" s="64">
        <v>121165.50990956</v>
      </c>
      <c r="AP700" s="61">
        <f>+N700-'Приложение №2'!E700</f>
        <v>6.7712406162172556E-3</v>
      </c>
      <c r="AQ700" s="6">
        <f>490264.08-R139</f>
        <v>96945.94</v>
      </c>
      <c r="AR700" s="3">
        <f>+(K700*10.5+L700*21)*12*0.85</f>
        <v>90098.945999999996</v>
      </c>
      <c r="AS700" s="3">
        <f>+(K700*10.5+L700*21)*12*30-S139</f>
        <v>2595283.5981529797</v>
      </c>
      <c r="AT700" s="6">
        <f t="shared" si="188"/>
        <v>-2223981.5481529799</v>
      </c>
      <c r="AU700" s="6" t="e">
        <v>#REF!</v>
      </c>
      <c r="AV700" s="6" t="e">
        <v>#REF!</v>
      </c>
      <c r="AW700" s="110">
        <f t="shared" si="182"/>
        <v>857576.7632287594</v>
      </c>
      <c r="AX700" s="55"/>
      <c r="AY700" s="55"/>
      <c r="AZ700" s="55">
        <v>839224.62049566396</v>
      </c>
      <c r="BA700" s="55"/>
      <c r="BB700" s="55">
        <v>0</v>
      </c>
      <c r="BC700" s="55"/>
      <c r="BD700" s="55"/>
      <c r="BE700" s="55">
        <v>0</v>
      </c>
      <c r="BF700" s="55">
        <v>0</v>
      </c>
      <c r="BG700" s="55">
        <v>0</v>
      </c>
      <c r="BH700" s="55">
        <v>0</v>
      </c>
      <c r="BI700" s="55">
        <v>0</v>
      </c>
      <c r="BJ700" s="55"/>
      <c r="BK700" s="63"/>
      <c r="BL700" s="64">
        <v>18352.142733095501</v>
      </c>
      <c r="BM700" s="110">
        <f t="shared" si="183"/>
        <v>857576.7632287594</v>
      </c>
      <c r="BN700" s="55"/>
      <c r="BO700" s="55"/>
      <c r="BP700" s="55">
        <v>839224.62049566396</v>
      </c>
      <c r="BQ700" s="55"/>
      <c r="BR700" s="55">
        <v>0</v>
      </c>
      <c r="BS700" s="55"/>
      <c r="BT700" s="55"/>
      <c r="BU700" s="55">
        <v>0</v>
      </c>
      <c r="BV700" s="55">
        <v>0</v>
      </c>
      <c r="BW700" s="55">
        <v>0</v>
      </c>
      <c r="BX700" s="55">
        <v>0</v>
      </c>
      <c r="BY700" s="55">
        <v>0</v>
      </c>
      <c r="BZ700" s="55"/>
      <c r="CA700" s="63"/>
      <c r="CB700" s="64">
        <v>18352.142733095501</v>
      </c>
      <c r="CD700" s="75"/>
      <c r="CE700" s="6"/>
    </row>
    <row r="701" spans="1:84" x14ac:dyDescent="0.25">
      <c r="A701" s="105">
        <f t="shared" si="184"/>
        <v>679</v>
      </c>
      <c r="B701" s="106">
        <f t="shared" si="180"/>
        <v>219</v>
      </c>
      <c r="C701" s="141" t="s">
        <v>204</v>
      </c>
      <c r="D701" s="141" t="s">
        <v>488</v>
      </c>
      <c r="E701" s="140">
        <v>1985</v>
      </c>
      <c r="F701" s="140">
        <v>2009</v>
      </c>
      <c r="G701" s="140" t="s">
        <v>64</v>
      </c>
      <c r="H701" s="140">
        <v>2</v>
      </c>
      <c r="I701" s="140">
        <v>3</v>
      </c>
      <c r="J701" s="144">
        <v>1493.5</v>
      </c>
      <c r="K701" s="144">
        <v>1376.8</v>
      </c>
      <c r="L701" s="144">
        <v>0</v>
      </c>
      <c r="M701" s="145">
        <v>60</v>
      </c>
      <c r="N701" s="112">
        <v>1515906.87</v>
      </c>
      <c r="O701" s="144"/>
      <c r="P701" s="185">
        <v>192419.66</v>
      </c>
      <c r="Q701" s="63"/>
      <c r="R701" s="62">
        <v>102623.82</v>
      </c>
      <c r="S701" s="62">
        <v>1220863.3899999999</v>
      </c>
      <c r="T701" s="63"/>
      <c r="U701" s="63">
        <v>7465.9600014526404</v>
      </c>
      <c r="V701" s="63">
        <v>1355.2830200640001</v>
      </c>
      <c r="W701" s="59">
        <v>2024</v>
      </c>
      <c r="X701" s="6" t="e">
        <v>#REF!</v>
      </c>
      <c r="Z701" s="62">
        <f t="shared" si="187"/>
        <v>10279133.73</v>
      </c>
      <c r="AA701" s="55">
        <v>4027966.8255372001</v>
      </c>
      <c r="AB701" s="55">
        <v>2450960.6744834399</v>
      </c>
      <c r="AC701" s="55">
        <v>1154893.5828968999</v>
      </c>
      <c r="AD701" s="55">
        <v>984230.91881016002</v>
      </c>
      <c r="AE701" s="55">
        <v>0</v>
      </c>
      <c r="AF701" s="55"/>
      <c r="AG701" s="55">
        <v>428109.96493607998</v>
      </c>
      <c r="AH701" s="55">
        <v>0</v>
      </c>
      <c r="AI701" s="55">
        <v>0</v>
      </c>
      <c r="AJ701" s="55">
        <v>0</v>
      </c>
      <c r="AK701" s="55">
        <v>0</v>
      </c>
      <c r="AL701" s="55">
        <v>0</v>
      </c>
      <c r="AM701" s="55">
        <v>932359.18539999996</v>
      </c>
      <c r="AN701" s="63">
        <v>102791.3373</v>
      </c>
      <c r="AO701" s="64">
        <v>197821.24063622</v>
      </c>
      <c r="AP701" s="61">
        <f>+N701-'Приложение №2'!E699</f>
        <v>-2721922.3254330466</v>
      </c>
      <c r="AQ701" s="65">
        <v>707700.33</v>
      </c>
      <c r="AR701" s="3">
        <f>+(K701*10+L701*20)*12*0.85</f>
        <v>140433.60000000001</v>
      </c>
      <c r="AS701" s="3">
        <f>+(K701*10+L701*20)*12*30</f>
        <v>4956480</v>
      </c>
      <c r="AT701" s="6">
        <f t="shared" si="188"/>
        <v>-3735616.6100000003</v>
      </c>
      <c r="AU701" s="6" t="e">
        <v>#REF!</v>
      </c>
      <c r="AV701" s="6" t="e">
        <v>#REF!</v>
      </c>
      <c r="AW701" s="62">
        <f t="shared" si="182"/>
        <v>10279133.729999997</v>
      </c>
      <c r="AX701" s="55">
        <v>4401647.2299239999</v>
      </c>
      <c r="AY701" s="55">
        <v>2728944.7063199999</v>
      </c>
      <c r="AZ701" s="55">
        <v>1282797.7023539999</v>
      </c>
      <c r="BA701" s="55">
        <v>1125093.5331300001</v>
      </c>
      <c r="BB701" s="55">
        <v>0</v>
      </c>
      <c r="BC701" s="55"/>
      <c r="BD701" s="55">
        <v>428109.96493607998</v>
      </c>
      <c r="BE701" s="55">
        <v>0</v>
      </c>
      <c r="BF701" s="55">
        <v>0</v>
      </c>
      <c r="BG701" s="55">
        <v>0</v>
      </c>
      <c r="BH701" s="55">
        <v>0</v>
      </c>
      <c r="BI701" s="55">
        <v>0</v>
      </c>
      <c r="BJ701" s="55">
        <v>66127.388600000006</v>
      </c>
      <c r="BK701" s="63">
        <v>28463.998599999999</v>
      </c>
      <c r="BL701" s="111">
        <v>217949.20613591999</v>
      </c>
      <c r="BM701" s="62">
        <f t="shared" si="183"/>
        <v>10279133.729999997</v>
      </c>
      <c r="BN701" s="55">
        <v>4401647.2299239999</v>
      </c>
      <c r="BO701" s="55">
        <v>2728944.7063199999</v>
      </c>
      <c r="BP701" s="55">
        <v>1282797.7023539999</v>
      </c>
      <c r="BQ701" s="55">
        <v>1125093.5331300001</v>
      </c>
      <c r="BR701" s="55">
        <v>0</v>
      </c>
      <c r="BS701" s="55"/>
      <c r="BT701" s="55">
        <v>428109.96493607998</v>
      </c>
      <c r="BU701" s="55">
        <v>0</v>
      </c>
      <c r="BV701" s="55">
        <v>0</v>
      </c>
      <c r="BW701" s="55">
        <v>0</v>
      </c>
      <c r="BX701" s="55">
        <v>0</v>
      </c>
      <c r="BY701" s="55">
        <v>0</v>
      </c>
      <c r="BZ701" s="55">
        <v>66127.388600000006</v>
      </c>
      <c r="CA701" s="63">
        <v>28463.998599999999</v>
      </c>
      <c r="CB701" s="64">
        <v>217949.20613591999</v>
      </c>
      <c r="CD701" s="75"/>
      <c r="CE701" s="6"/>
    </row>
    <row r="702" spans="1:84" x14ac:dyDescent="0.25">
      <c r="A702" s="105">
        <f t="shared" si="184"/>
        <v>680</v>
      </c>
      <c r="B702" s="106">
        <f t="shared" si="180"/>
        <v>220</v>
      </c>
      <c r="C702" s="107" t="s">
        <v>648</v>
      </c>
      <c r="D702" s="107" t="s">
        <v>649</v>
      </c>
      <c r="E702" s="128">
        <v>1989</v>
      </c>
      <c r="F702" s="128">
        <v>1989</v>
      </c>
      <c r="G702" s="128" t="s">
        <v>64</v>
      </c>
      <c r="H702" s="128">
        <v>2</v>
      </c>
      <c r="I702" s="128">
        <v>2</v>
      </c>
      <c r="J702" s="63">
        <v>638.26</v>
      </c>
      <c r="K702" s="63">
        <v>562.19000000000005</v>
      </c>
      <c r="L702" s="63">
        <v>0</v>
      </c>
      <c r="M702" s="129">
        <v>25</v>
      </c>
      <c r="N702" s="108">
        <v>2228944.75</v>
      </c>
      <c r="O702" s="63"/>
      <c r="P702" s="63"/>
      <c r="Q702" s="63"/>
      <c r="R702" s="62">
        <v>377072.61</v>
      </c>
      <c r="S702" s="62">
        <v>1851872.14</v>
      </c>
      <c r="T702" s="63">
        <v>0</v>
      </c>
      <c r="U702" s="63">
        <v>4292.5979635022004</v>
      </c>
      <c r="V702" s="63">
        <v>1358.2830200640001</v>
      </c>
      <c r="W702" s="59">
        <v>2024</v>
      </c>
      <c r="X702" s="6" t="e">
        <v>#REF!</v>
      </c>
      <c r="Z702" s="62">
        <f t="shared" si="187"/>
        <v>4469720.9400000004</v>
      </c>
      <c r="AA702" s="55">
        <v>1751498.5321852199</v>
      </c>
      <c r="AB702" s="55">
        <v>1065762.0143784599</v>
      </c>
      <c r="AC702" s="55">
        <v>502187.45163426001</v>
      </c>
      <c r="AD702" s="55">
        <v>427977.46190892003</v>
      </c>
      <c r="AE702" s="55">
        <v>0</v>
      </c>
      <c r="AF702" s="55"/>
      <c r="AG702" s="55">
        <v>186156.94426056001</v>
      </c>
      <c r="AH702" s="55">
        <v>0</v>
      </c>
      <c r="AI702" s="55">
        <v>0</v>
      </c>
      <c r="AJ702" s="55">
        <v>0</v>
      </c>
      <c r="AK702" s="55">
        <v>0</v>
      </c>
      <c r="AL702" s="55">
        <v>0</v>
      </c>
      <c r="AM702" s="55">
        <v>405421.84590000001</v>
      </c>
      <c r="AN702" s="63">
        <v>44697.2094</v>
      </c>
      <c r="AO702" s="64">
        <v>86019.480332580002</v>
      </c>
      <c r="AP702" s="61">
        <f>+N702-'Приложение №2'!E702</f>
        <v>-3.3804415725171566E-3</v>
      </c>
      <c r="AQ702" s="65">
        <v>340862.06</v>
      </c>
      <c r="AR702" s="3">
        <f t="shared" ref="AR702:AR707" si="189">+(K702*10.5+L702*21)*12*0.85</f>
        <v>60210.548999999999</v>
      </c>
      <c r="AS702" s="3">
        <f>+(K702*10.5+L702*21)*12*30</f>
        <v>2125078.2000000002</v>
      </c>
      <c r="AT702" s="6">
        <f t="shared" si="188"/>
        <v>-273206.06000000029</v>
      </c>
      <c r="AU702" s="6" t="e">
        <v>#REF!</v>
      </c>
      <c r="AV702" s="6" t="e">
        <v>#REF!</v>
      </c>
      <c r="AW702" s="110">
        <f t="shared" si="182"/>
        <v>2413255.6491013048</v>
      </c>
      <c r="AX702" s="55">
        <v>1956022.0744509301</v>
      </c>
      <c r="AY702" s="55">
        <v>0</v>
      </c>
      <c r="AZ702" s="55">
        <v>0</v>
      </c>
      <c r="BA702" s="55">
        <v>0</v>
      </c>
      <c r="BB702" s="55">
        <v>0</v>
      </c>
      <c r="BC702" s="55"/>
      <c r="BD702" s="55">
        <v>207894.42769916999</v>
      </c>
      <c r="BE702" s="55">
        <v>0</v>
      </c>
      <c r="BF702" s="55">
        <v>0</v>
      </c>
      <c r="BG702" s="55">
        <v>0</v>
      </c>
      <c r="BH702" s="55">
        <v>0</v>
      </c>
      <c r="BI702" s="55">
        <v>0</v>
      </c>
      <c r="BJ702" s="55">
        <v>177886.11922985001</v>
      </c>
      <c r="BK702" s="63">
        <v>24132.556491013002</v>
      </c>
      <c r="BL702" s="64">
        <v>47320.471230341398</v>
      </c>
      <c r="BM702" s="110">
        <f t="shared" si="183"/>
        <v>2413255.6491013048</v>
      </c>
      <c r="BN702" s="55">
        <v>1956022.0744509301</v>
      </c>
      <c r="BO702" s="55">
        <v>0</v>
      </c>
      <c r="BP702" s="55">
        <v>0</v>
      </c>
      <c r="BQ702" s="55">
        <v>0</v>
      </c>
      <c r="BR702" s="55">
        <v>0</v>
      </c>
      <c r="BS702" s="55"/>
      <c r="BT702" s="55">
        <v>207894.42769916999</v>
      </c>
      <c r="BU702" s="55">
        <v>0</v>
      </c>
      <c r="BV702" s="55">
        <v>0</v>
      </c>
      <c r="BW702" s="55">
        <v>0</v>
      </c>
      <c r="BX702" s="55">
        <v>0</v>
      </c>
      <c r="BY702" s="55">
        <v>0</v>
      </c>
      <c r="BZ702" s="55">
        <v>177886.11922985001</v>
      </c>
      <c r="CA702" s="63">
        <v>24132.556491013002</v>
      </c>
      <c r="CB702" s="64">
        <v>47320.471230341398</v>
      </c>
      <c r="CD702" s="75"/>
      <c r="CE702" s="6"/>
      <c r="CF702" s="117"/>
    </row>
    <row r="703" spans="1:84" x14ac:dyDescent="0.25">
      <c r="A703" s="105">
        <f t="shared" si="184"/>
        <v>681</v>
      </c>
      <c r="B703" s="106">
        <f t="shared" si="180"/>
        <v>221</v>
      </c>
      <c r="C703" s="107" t="s">
        <v>648</v>
      </c>
      <c r="D703" s="107" t="s">
        <v>650</v>
      </c>
      <c r="E703" s="128">
        <v>1989</v>
      </c>
      <c r="F703" s="128">
        <v>1989</v>
      </c>
      <c r="G703" s="128" t="s">
        <v>64</v>
      </c>
      <c r="H703" s="128">
        <v>2</v>
      </c>
      <c r="I703" s="128">
        <v>1</v>
      </c>
      <c r="J703" s="63">
        <v>390.65</v>
      </c>
      <c r="K703" s="63">
        <v>349.25</v>
      </c>
      <c r="L703" s="63">
        <v>0</v>
      </c>
      <c r="M703" s="129">
        <v>1</v>
      </c>
      <c r="N703" s="108">
        <v>3094382.29</v>
      </c>
      <c r="O703" s="63"/>
      <c r="P703" s="62">
        <v>1280621.8600000001</v>
      </c>
      <c r="Q703" s="63"/>
      <c r="R703" s="62">
        <v>202682.37</v>
      </c>
      <c r="S703" s="62">
        <v>1313574.27</v>
      </c>
      <c r="T703" s="62">
        <v>297503.78999999998</v>
      </c>
      <c r="U703" s="63">
        <v>8878.9492219121803</v>
      </c>
      <c r="V703" s="63">
        <v>1359.2830200640001</v>
      </c>
      <c r="W703" s="59">
        <v>2024</v>
      </c>
      <c r="X703" s="6" t="e">
        <v>#REF!</v>
      </c>
      <c r="Z703" s="62">
        <f t="shared" si="187"/>
        <v>2736423.66</v>
      </c>
      <c r="AA703" s="55">
        <v>1072291.1104705799</v>
      </c>
      <c r="AB703" s="55">
        <v>652473.9262167</v>
      </c>
      <c r="AC703" s="55">
        <v>307445.96072232001</v>
      </c>
      <c r="AD703" s="55">
        <v>262013.59455432001</v>
      </c>
      <c r="AE703" s="55">
        <v>0</v>
      </c>
      <c r="AF703" s="55"/>
      <c r="AG703" s="55">
        <v>113967.79944983999</v>
      </c>
      <c r="AH703" s="55">
        <v>0</v>
      </c>
      <c r="AI703" s="55">
        <v>0</v>
      </c>
      <c r="AJ703" s="55">
        <v>0</v>
      </c>
      <c r="AK703" s="55">
        <v>0</v>
      </c>
      <c r="AL703" s="55">
        <v>0</v>
      </c>
      <c r="AM703" s="55">
        <v>248204.74179999999</v>
      </c>
      <c r="AN703" s="63">
        <v>27364.2366</v>
      </c>
      <c r="AO703" s="64">
        <v>52662.290186240003</v>
      </c>
      <c r="AP703" s="61">
        <f>+N703-'Приложение №2'!E703</f>
        <v>7.0375208742916584E-3</v>
      </c>
      <c r="AQ703" s="65">
        <v>189277.69</v>
      </c>
      <c r="AR703" s="3">
        <f t="shared" si="189"/>
        <v>37404.674999999996</v>
      </c>
      <c r="AS703" s="3">
        <f>+(K703*10.5+L703*21)*12*30</f>
        <v>1320165</v>
      </c>
      <c r="AT703" s="6">
        <f t="shared" si="188"/>
        <v>-6590.7299999999814</v>
      </c>
      <c r="AU703" s="6" t="e">
        <v>#REF!</v>
      </c>
      <c r="AV703" s="6" t="e">
        <v>#REF!</v>
      </c>
      <c r="AW703" s="110">
        <f t="shared" si="182"/>
        <v>3100973.0157528245</v>
      </c>
      <c r="AX703" s="55">
        <v>1317992.10136421</v>
      </c>
      <c r="AY703" s="55">
        <v>812946.76704602805</v>
      </c>
      <c r="AZ703" s="55">
        <v>379638.95355079102</v>
      </c>
      <c r="BA703" s="55">
        <v>329956.81482307299</v>
      </c>
      <c r="BB703" s="55">
        <v>0</v>
      </c>
      <c r="BC703" s="55"/>
      <c r="BD703" s="55">
        <v>129150.51650498</v>
      </c>
      <c r="BE703" s="55">
        <v>0</v>
      </c>
      <c r="BF703" s="55">
        <v>0</v>
      </c>
      <c r="BG703" s="55">
        <v>0</v>
      </c>
      <c r="BH703" s="55">
        <v>0</v>
      </c>
      <c r="BI703" s="55">
        <v>0</v>
      </c>
      <c r="BJ703" s="55">
        <v>41000.181395172804</v>
      </c>
      <c r="BK703" s="63">
        <v>25346.6813951728</v>
      </c>
      <c r="BL703" s="64">
        <v>64940.999673397098</v>
      </c>
      <c r="BM703" s="110">
        <f t="shared" si="183"/>
        <v>3100973.0157528245</v>
      </c>
      <c r="BN703" s="55">
        <v>1317992.10136421</v>
      </c>
      <c r="BO703" s="55">
        <v>812946.76704602805</v>
      </c>
      <c r="BP703" s="55">
        <v>379638.95355079102</v>
      </c>
      <c r="BQ703" s="55">
        <v>329956.81482307299</v>
      </c>
      <c r="BR703" s="55">
        <v>0</v>
      </c>
      <c r="BS703" s="55"/>
      <c r="BT703" s="55">
        <v>129150.51650498</v>
      </c>
      <c r="BU703" s="55">
        <v>0</v>
      </c>
      <c r="BV703" s="55">
        <v>0</v>
      </c>
      <c r="BW703" s="55">
        <v>0</v>
      </c>
      <c r="BX703" s="55">
        <v>0</v>
      </c>
      <c r="BY703" s="55">
        <v>0</v>
      </c>
      <c r="BZ703" s="55">
        <v>41000.181395172804</v>
      </c>
      <c r="CA703" s="63">
        <v>25346.6813951728</v>
      </c>
      <c r="CB703" s="64">
        <v>64940.999673397098</v>
      </c>
      <c r="CD703" s="75"/>
      <c r="CE703" s="6"/>
      <c r="CF703" s="117"/>
    </row>
    <row r="704" spans="1:84" x14ac:dyDescent="0.25">
      <c r="A704" s="105">
        <f t="shared" si="184"/>
        <v>682</v>
      </c>
      <c r="B704" s="106">
        <f t="shared" si="180"/>
        <v>222</v>
      </c>
      <c r="C704" s="107" t="s">
        <v>648</v>
      </c>
      <c r="D704" s="107" t="s">
        <v>651</v>
      </c>
      <c r="E704" s="128">
        <v>1989</v>
      </c>
      <c r="F704" s="128">
        <v>1989</v>
      </c>
      <c r="G704" s="128" t="s">
        <v>64</v>
      </c>
      <c r="H704" s="128">
        <v>5</v>
      </c>
      <c r="I704" s="128">
        <v>2</v>
      </c>
      <c r="J704" s="63">
        <v>1113.04</v>
      </c>
      <c r="K704" s="63">
        <v>865.12</v>
      </c>
      <c r="L704" s="63">
        <v>0</v>
      </c>
      <c r="M704" s="129">
        <v>28</v>
      </c>
      <c r="N704" s="108">
        <v>3843508.51</v>
      </c>
      <c r="O704" s="63"/>
      <c r="P704" s="63"/>
      <c r="Q704" s="63"/>
      <c r="R704" s="62">
        <v>599687.44999999995</v>
      </c>
      <c r="S704" s="62">
        <v>3243821.06</v>
      </c>
      <c r="T704" s="63"/>
      <c r="U704" s="63">
        <v>4445.0045154572399</v>
      </c>
      <c r="V704" s="63">
        <v>1360.2830200640001</v>
      </c>
      <c r="W704" s="59">
        <v>2024</v>
      </c>
      <c r="X704" s="6" t="e">
        <v>#REF!</v>
      </c>
      <c r="Z704" s="62">
        <f t="shared" si="187"/>
        <v>3813311.24</v>
      </c>
      <c r="AA704" s="55">
        <v>2150190.8694575401</v>
      </c>
      <c r="AB704" s="55">
        <v>760761.90151710005</v>
      </c>
      <c r="AC704" s="55">
        <v>380042.30206949997</v>
      </c>
      <c r="AD704" s="55">
        <v>0</v>
      </c>
      <c r="AE704" s="55">
        <v>0</v>
      </c>
      <c r="AF704" s="55"/>
      <c r="AG704" s="55">
        <v>85315.658345400007</v>
      </c>
      <c r="AH704" s="55">
        <v>0</v>
      </c>
      <c r="AI704" s="55">
        <v>0</v>
      </c>
      <c r="AJ704" s="55">
        <v>0</v>
      </c>
      <c r="AK704" s="55">
        <v>0</v>
      </c>
      <c r="AL704" s="55">
        <v>0</v>
      </c>
      <c r="AM704" s="55">
        <v>325034.3187</v>
      </c>
      <c r="AN704" s="63">
        <v>38133.112399999998</v>
      </c>
      <c r="AO704" s="64">
        <v>73833.077510460003</v>
      </c>
      <c r="AP704" s="61">
        <f>+N704-'Приложение №2'!E704</f>
        <v>-6.1584669165313244E-3</v>
      </c>
      <c r="AQ704" s="65">
        <v>507033.1</v>
      </c>
      <c r="AR704" s="3">
        <f t="shared" si="189"/>
        <v>92654.351999999999</v>
      </c>
      <c r="AS704" s="3">
        <f>+(K704*10.5+L704*21)*12*30</f>
        <v>3270153.5999999996</v>
      </c>
      <c r="AT704" s="6">
        <f t="shared" si="188"/>
        <v>-26332.539999999572</v>
      </c>
      <c r="AU704" s="6" t="e">
        <v>#REF!</v>
      </c>
      <c r="AV704" s="6" t="e">
        <v>#REF!</v>
      </c>
      <c r="AW704" s="110">
        <f t="shared" si="182"/>
        <v>3845462.3064123709</v>
      </c>
      <c r="AX704" s="55">
        <v>2560605.4059906602</v>
      </c>
      <c r="AY704" s="55">
        <v>1040839.31581896</v>
      </c>
      <c r="AZ704" s="55">
        <v>0</v>
      </c>
      <c r="BA704" s="55">
        <v>0</v>
      </c>
      <c r="BB704" s="55">
        <v>0</v>
      </c>
      <c r="BC704" s="55"/>
      <c r="BD704" s="55">
        <v>93686.4984670556</v>
      </c>
      <c r="BE704" s="55">
        <v>0</v>
      </c>
      <c r="BF704" s="55"/>
      <c r="BG704" s="55">
        <v>0</v>
      </c>
      <c r="BH704" s="55">
        <v>0</v>
      </c>
      <c r="BI704" s="55">
        <v>0</v>
      </c>
      <c r="BJ704" s="55">
        <v>52549.160126952003</v>
      </c>
      <c r="BK704" s="63">
        <v>16976.890126951999</v>
      </c>
      <c r="BL704" s="64">
        <v>80805.035881791104</v>
      </c>
      <c r="BM704" s="110">
        <f t="shared" si="183"/>
        <v>3845462.3064123709</v>
      </c>
      <c r="BN704" s="55">
        <v>2560605.4059906602</v>
      </c>
      <c r="BO704" s="55">
        <v>1040839.31581896</v>
      </c>
      <c r="BP704" s="55">
        <v>0</v>
      </c>
      <c r="BQ704" s="55">
        <v>0</v>
      </c>
      <c r="BR704" s="55">
        <v>0</v>
      </c>
      <c r="BS704" s="55"/>
      <c r="BT704" s="55">
        <v>93686.4984670556</v>
      </c>
      <c r="BU704" s="55">
        <v>0</v>
      </c>
      <c r="BV704" s="55"/>
      <c r="BW704" s="55">
        <v>0</v>
      </c>
      <c r="BX704" s="55">
        <v>0</v>
      </c>
      <c r="BY704" s="55">
        <v>0</v>
      </c>
      <c r="BZ704" s="55">
        <v>52549.160126952003</v>
      </c>
      <c r="CA704" s="63">
        <v>16976.890126951999</v>
      </c>
      <c r="CB704" s="64">
        <v>80805.035881791104</v>
      </c>
      <c r="CD704" s="75"/>
      <c r="CE704" s="6"/>
      <c r="CF704" s="117"/>
    </row>
    <row r="705" spans="1:83" x14ac:dyDescent="0.25">
      <c r="A705" s="105">
        <f t="shared" si="184"/>
        <v>683</v>
      </c>
      <c r="B705" s="106">
        <f t="shared" si="180"/>
        <v>223</v>
      </c>
      <c r="C705" s="107" t="s">
        <v>648</v>
      </c>
      <c r="D705" s="107" t="s">
        <v>652</v>
      </c>
      <c r="E705" s="128">
        <v>1984</v>
      </c>
      <c r="F705" s="128">
        <v>1984</v>
      </c>
      <c r="G705" s="128" t="s">
        <v>64</v>
      </c>
      <c r="H705" s="128">
        <v>2</v>
      </c>
      <c r="I705" s="128">
        <v>2</v>
      </c>
      <c r="J705" s="63">
        <v>638.79999999999995</v>
      </c>
      <c r="K705" s="63">
        <v>591.79999999999995</v>
      </c>
      <c r="L705" s="63">
        <v>0</v>
      </c>
      <c r="M705" s="129">
        <v>27</v>
      </c>
      <c r="N705" s="108">
        <v>4725406.3099999996</v>
      </c>
      <c r="O705" s="63"/>
      <c r="P705" s="62">
        <v>508425.42</v>
      </c>
      <c r="Q705" s="63"/>
      <c r="R705" s="62">
        <v>325253</v>
      </c>
      <c r="S705" s="62">
        <v>2237004</v>
      </c>
      <c r="T705" s="62">
        <v>1654723.89</v>
      </c>
      <c r="U705" s="63">
        <v>7984.8028105902804</v>
      </c>
      <c r="V705" s="63">
        <v>1348.2830200640001</v>
      </c>
      <c r="W705" s="59">
        <v>2024</v>
      </c>
      <c r="X705" s="6" t="e">
        <v>#REF!</v>
      </c>
      <c r="Z705" s="62">
        <f t="shared" si="187"/>
        <v>4418355.1300000008</v>
      </c>
      <c r="AA705" s="55">
        <v>1731370.4004597</v>
      </c>
      <c r="AB705" s="55">
        <v>1053514.3282679401</v>
      </c>
      <c r="AC705" s="55">
        <v>496416.34494899999</v>
      </c>
      <c r="AD705" s="55">
        <v>423059.16646896</v>
      </c>
      <c r="AE705" s="55">
        <v>0</v>
      </c>
      <c r="AF705" s="55"/>
      <c r="AG705" s="55">
        <v>184017.63091067999</v>
      </c>
      <c r="AH705" s="55">
        <v>0</v>
      </c>
      <c r="AI705" s="55">
        <v>0</v>
      </c>
      <c r="AJ705" s="55">
        <v>0</v>
      </c>
      <c r="AK705" s="55">
        <v>0</v>
      </c>
      <c r="AL705" s="55">
        <v>0</v>
      </c>
      <c r="AM705" s="55">
        <v>400762.75890000002</v>
      </c>
      <c r="AN705" s="63">
        <v>44183.551299999999</v>
      </c>
      <c r="AO705" s="64">
        <v>85030.94874372</v>
      </c>
      <c r="AP705" s="61">
        <f>+N705-'Приложение №2'!E705</f>
        <v>6.6926721483469009E-3</v>
      </c>
      <c r="AQ705" s="65">
        <v>261871.22</v>
      </c>
      <c r="AR705" s="3">
        <f t="shared" si="189"/>
        <v>63381.779999999992</v>
      </c>
      <c r="AS705" s="3">
        <f>+(K705*10.5+L705*21)*12*30</f>
        <v>2237003.9999999995</v>
      </c>
      <c r="AT705" s="6">
        <f t="shared" si="188"/>
        <v>0</v>
      </c>
      <c r="AU705" s="6" t="e">
        <v>#REF!</v>
      </c>
      <c r="AV705" s="6" t="e">
        <v>#REF!</v>
      </c>
      <c r="AW705" s="110">
        <f t="shared" si="182"/>
        <v>4725406.3033073274</v>
      </c>
      <c r="AX705" s="55">
        <v>2059043.85289681</v>
      </c>
      <c r="AY705" s="55">
        <v>1252899.4472983701</v>
      </c>
      <c r="AZ705" s="55">
        <v>590368.17441615404</v>
      </c>
      <c r="BA705" s="55">
        <v>503127.108987329</v>
      </c>
      <c r="BB705" s="55">
        <v>0</v>
      </c>
      <c r="BC705" s="55"/>
      <c r="BD705" s="55">
        <v>218844.02481788801</v>
      </c>
      <c r="BE705" s="55">
        <v>0</v>
      </c>
      <c r="BF705" s="55">
        <v>0</v>
      </c>
      <c r="BG705" s="55">
        <v>0</v>
      </c>
      <c r="BH705" s="55">
        <v>0</v>
      </c>
      <c r="BI705" s="55">
        <v>0</v>
      </c>
      <c r="BJ705" s="55"/>
      <c r="BK705" s="63"/>
      <c r="BL705" s="64">
        <v>101123.694890777</v>
      </c>
      <c r="BM705" s="110">
        <f t="shared" si="183"/>
        <v>4725406.3033073274</v>
      </c>
      <c r="BN705" s="55">
        <v>2059043.85289681</v>
      </c>
      <c r="BO705" s="55">
        <v>1252899.4472983701</v>
      </c>
      <c r="BP705" s="55">
        <v>590368.17441615404</v>
      </c>
      <c r="BQ705" s="55">
        <v>503127.108987329</v>
      </c>
      <c r="BR705" s="55">
        <v>0</v>
      </c>
      <c r="BS705" s="55"/>
      <c r="BT705" s="55">
        <v>218844.02481788801</v>
      </c>
      <c r="BU705" s="55">
        <v>0</v>
      </c>
      <c r="BV705" s="55">
        <v>0</v>
      </c>
      <c r="BW705" s="55">
        <v>0</v>
      </c>
      <c r="BX705" s="55">
        <v>0</v>
      </c>
      <c r="BY705" s="55">
        <v>0</v>
      </c>
      <c r="BZ705" s="55"/>
      <c r="CA705" s="63"/>
      <c r="CB705" s="64">
        <v>101123.694890777</v>
      </c>
      <c r="CD705" s="75"/>
      <c r="CE705" s="6"/>
    </row>
    <row r="706" spans="1:83" x14ac:dyDescent="0.25">
      <c r="A706" s="105">
        <f t="shared" si="184"/>
        <v>684</v>
      </c>
      <c r="B706" s="106">
        <f t="shared" si="180"/>
        <v>224</v>
      </c>
      <c r="C706" s="107" t="s">
        <v>206</v>
      </c>
      <c r="D706" s="107" t="s">
        <v>653</v>
      </c>
      <c r="E706" s="128">
        <v>1961</v>
      </c>
      <c r="F706" s="128">
        <v>2009</v>
      </c>
      <c r="G706" s="128" t="s">
        <v>64</v>
      </c>
      <c r="H706" s="128">
        <v>2</v>
      </c>
      <c r="I706" s="128">
        <v>2</v>
      </c>
      <c r="J706" s="63">
        <v>1068.6199999999999</v>
      </c>
      <c r="K706" s="63">
        <v>637.97</v>
      </c>
      <c r="L706" s="63">
        <v>254.2</v>
      </c>
      <c r="M706" s="129">
        <v>27</v>
      </c>
      <c r="N706" s="108">
        <v>749159.69</v>
      </c>
      <c r="O706" s="63"/>
      <c r="P706" s="63"/>
      <c r="Q706" s="63"/>
      <c r="R706" s="62">
        <v>161022.22</v>
      </c>
      <c r="S706" s="62">
        <v>588137.47</v>
      </c>
      <c r="T706" s="63"/>
      <c r="U706" s="63">
        <v>1174.28669391319</v>
      </c>
      <c r="V706" s="63">
        <v>1349.2830200640001</v>
      </c>
      <c r="W706" s="59">
        <v>2024</v>
      </c>
      <c r="X706" s="6" t="e">
        <v>#REF!</v>
      </c>
      <c r="Z706" s="62">
        <f t="shared" si="187"/>
        <v>614213.7699999999</v>
      </c>
      <c r="AA706" s="55">
        <v>0</v>
      </c>
      <c r="AB706" s="55">
        <v>0</v>
      </c>
      <c r="AC706" s="55">
        <v>534951.93983657996</v>
      </c>
      <c r="AD706" s="55">
        <v>0</v>
      </c>
      <c r="AE706" s="55">
        <v>0</v>
      </c>
      <c r="AF706" s="55"/>
      <c r="AG706" s="55">
        <v>0</v>
      </c>
      <c r="AH706" s="55">
        <v>0</v>
      </c>
      <c r="AI706" s="55">
        <v>0</v>
      </c>
      <c r="AJ706" s="55">
        <v>0</v>
      </c>
      <c r="AK706" s="55">
        <v>0</v>
      </c>
      <c r="AL706" s="55">
        <v>0</v>
      </c>
      <c r="AM706" s="55">
        <v>61421.377</v>
      </c>
      <c r="AN706" s="63">
        <v>6142.1377000000002</v>
      </c>
      <c r="AO706" s="64">
        <v>11698.31546342</v>
      </c>
      <c r="AP706" s="61">
        <f>+N706-'Приложение №2'!E706</f>
        <v>7.8841998474672437E-3</v>
      </c>
      <c r="AQ706" s="1">
        <f>326698.29-288452.3</f>
        <v>38245.989999999991</v>
      </c>
      <c r="AR706" s="3">
        <f t="shared" si="189"/>
        <v>122776.227</v>
      </c>
      <c r="AS706" s="3">
        <f>+(K706*10.5+L706*21)*12*30-886844.04</f>
        <v>3446434.5599999996</v>
      </c>
      <c r="AT706" s="6">
        <f t="shared" si="188"/>
        <v>-2858297.09</v>
      </c>
      <c r="AU706" s="6" t="e">
        <v>#REF!</v>
      </c>
      <c r="AV706" s="6" t="e">
        <v>#REF!</v>
      </c>
      <c r="AW706" s="110">
        <f t="shared" si="182"/>
        <v>749159.6821158001</v>
      </c>
      <c r="AX706" s="55">
        <v>0</v>
      </c>
      <c r="AY706" s="55">
        <v>0</v>
      </c>
      <c r="AZ706" s="55">
        <v>733127.664918522</v>
      </c>
      <c r="BA706" s="55">
        <v>0</v>
      </c>
      <c r="BB706" s="55">
        <v>0</v>
      </c>
      <c r="BC706" s="55"/>
      <c r="BD706" s="55"/>
      <c r="BE706" s="55">
        <v>0</v>
      </c>
      <c r="BF706" s="55">
        <v>0</v>
      </c>
      <c r="BG706" s="55">
        <v>0</v>
      </c>
      <c r="BH706" s="55">
        <v>0</v>
      </c>
      <c r="BI706" s="55">
        <v>0</v>
      </c>
      <c r="BJ706" s="55"/>
      <c r="BK706" s="63"/>
      <c r="BL706" s="64">
        <v>16032.017197278101</v>
      </c>
      <c r="BM706" s="110">
        <f t="shared" si="183"/>
        <v>749159.6821158001</v>
      </c>
      <c r="BN706" s="55">
        <v>0</v>
      </c>
      <c r="BO706" s="55">
        <v>0</v>
      </c>
      <c r="BP706" s="55">
        <v>733127.664918522</v>
      </c>
      <c r="BQ706" s="55">
        <v>0</v>
      </c>
      <c r="BR706" s="55">
        <v>0</v>
      </c>
      <c r="BS706" s="55"/>
      <c r="BT706" s="55"/>
      <c r="BU706" s="55">
        <v>0</v>
      </c>
      <c r="BV706" s="55">
        <v>0</v>
      </c>
      <c r="BW706" s="55">
        <v>0</v>
      </c>
      <c r="BX706" s="55">
        <v>0</v>
      </c>
      <c r="BY706" s="55">
        <v>0</v>
      </c>
      <c r="BZ706" s="55"/>
      <c r="CA706" s="63"/>
      <c r="CB706" s="64">
        <v>16032.017197278101</v>
      </c>
      <c r="CD706" s="75"/>
      <c r="CE706" s="6"/>
    </row>
    <row r="707" spans="1:83" x14ac:dyDescent="0.25">
      <c r="A707" s="105">
        <f t="shared" si="184"/>
        <v>685</v>
      </c>
      <c r="B707" s="106">
        <f t="shared" si="180"/>
        <v>225</v>
      </c>
      <c r="C707" s="107" t="s">
        <v>206</v>
      </c>
      <c r="D707" s="107" t="s">
        <v>654</v>
      </c>
      <c r="E707" s="128">
        <v>1964</v>
      </c>
      <c r="F707" s="128">
        <v>2009</v>
      </c>
      <c r="G707" s="128" t="s">
        <v>64</v>
      </c>
      <c r="H707" s="128">
        <v>2</v>
      </c>
      <c r="I707" s="128">
        <v>2</v>
      </c>
      <c r="J707" s="63">
        <v>814.22</v>
      </c>
      <c r="K707" s="63">
        <v>596</v>
      </c>
      <c r="L707" s="63">
        <v>218.22</v>
      </c>
      <c r="M707" s="129">
        <v>18</v>
      </c>
      <c r="N707" s="108">
        <v>683704.67</v>
      </c>
      <c r="O707" s="63"/>
      <c r="P707" s="63"/>
      <c r="Q707" s="63"/>
      <c r="R707" s="62">
        <v>174798.85</v>
      </c>
      <c r="S707" s="62">
        <v>508905.82</v>
      </c>
      <c r="T707" s="63"/>
      <c r="U707" s="63">
        <v>1147.1554883420299</v>
      </c>
      <c r="V707" s="63">
        <v>1350.2830200640001</v>
      </c>
      <c r="W707" s="59">
        <v>2024</v>
      </c>
      <c r="X707" s="6" t="e">
        <v>#REF!</v>
      </c>
      <c r="Z707" s="62">
        <f t="shared" si="187"/>
        <v>574052.08000000007</v>
      </c>
      <c r="AA707" s="55">
        <v>0</v>
      </c>
      <c r="AB707" s="55">
        <v>0</v>
      </c>
      <c r="AC707" s="55">
        <v>499972.95528431999</v>
      </c>
      <c r="AD707" s="55">
        <v>0</v>
      </c>
      <c r="AE707" s="55">
        <v>0</v>
      </c>
      <c r="AF707" s="55"/>
      <c r="AG707" s="55">
        <v>0</v>
      </c>
      <c r="AH707" s="55">
        <v>0</v>
      </c>
      <c r="AI707" s="55">
        <v>0</v>
      </c>
      <c r="AJ707" s="55">
        <v>0</v>
      </c>
      <c r="AK707" s="55">
        <v>0</v>
      </c>
      <c r="AL707" s="55">
        <v>0</v>
      </c>
      <c r="AM707" s="55">
        <v>57405.207999999999</v>
      </c>
      <c r="AN707" s="63">
        <v>5740.5208000000002</v>
      </c>
      <c r="AO707" s="64">
        <v>10933.395915679999</v>
      </c>
      <c r="AP707" s="61">
        <f>+N707-'Приложение №2'!E707</f>
        <v>-1.051847473718226E-3</v>
      </c>
      <c r="AQ707" s="1">
        <f>341501.29-277276.76</f>
        <v>64224.52999999997</v>
      </c>
      <c r="AR707" s="3">
        <f t="shared" si="189"/>
        <v>110574.32399999999</v>
      </c>
      <c r="AS707" s="3">
        <f>+(K707*10.5+L707*21)*12*30-756724.06</f>
        <v>3145899.1399999997</v>
      </c>
      <c r="AT707" s="6">
        <f t="shared" si="188"/>
        <v>-2636993.3199999998</v>
      </c>
      <c r="AU707" s="6" t="e">
        <v>#REF!</v>
      </c>
      <c r="AV707" s="6" t="e">
        <v>#REF!</v>
      </c>
      <c r="AW707" s="110">
        <f t="shared" si="182"/>
        <v>683704.67105184752</v>
      </c>
      <c r="AX707" s="55">
        <v>0</v>
      </c>
      <c r="AY707" s="55">
        <v>0</v>
      </c>
      <c r="AZ707" s="55">
        <v>669073.39109133801</v>
      </c>
      <c r="BA707" s="55">
        <v>0</v>
      </c>
      <c r="BB707" s="55">
        <v>0</v>
      </c>
      <c r="BC707" s="55"/>
      <c r="BD707" s="55"/>
      <c r="BE707" s="55">
        <v>0</v>
      </c>
      <c r="BF707" s="55">
        <v>0</v>
      </c>
      <c r="BG707" s="55">
        <v>0</v>
      </c>
      <c r="BH707" s="55">
        <v>0</v>
      </c>
      <c r="BI707" s="55">
        <v>0</v>
      </c>
      <c r="BJ707" s="55"/>
      <c r="BK707" s="63"/>
      <c r="BL707" s="64">
        <v>14631.279960509501</v>
      </c>
      <c r="BM707" s="110">
        <f t="shared" si="183"/>
        <v>683704.67105184752</v>
      </c>
      <c r="BN707" s="55">
        <v>0</v>
      </c>
      <c r="BO707" s="55">
        <v>0</v>
      </c>
      <c r="BP707" s="55">
        <v>669073.39109133801</v>
      </c>
      <c r="BQ707" s="55">
        <v>0</v>
      </c>
      <c r="BR707" s="55">
        <v>0</v>
      </c>
      <c r="BS707" s="55"/>
      <c r="BT707" s="55"/>
      <c r="BU707" s="55">
        <v>0</v>
      </c>
      <c r="BV707" s="55">
        <v>0</v>
      </c>
      <c r="BW707" s="55">
        <v>0</v>
      </c>
      <c r="BX707" s="55">
        <v>0</v>
      </c>
      <c r="BY707" s="55">
        <v>0</v>
      </c>
      <c r="BZ707" s="55"/>
      <c r="CA707" s="63"/>
      <c r="CB707" s="64">
        <v>14631.279960509501</v>
      </c>
      <c r="CD707" s="75"/>
      <c r="CE707" s="6"/>
    </row>
    <row r="708" spans="1:83" x14ac:dyDescent="0.25">
      <c r="A708" s="105">
        <f t="shared" si="184"/>
        <v>686</v>
      </c>
      <c r="B708" s="106">
        <f t="shared" si="180"/>
        <v>226</v>
      </c>
      <c r="C708" s="107" t="s">
        <v>206</v>
      </c>
      <c r="D708" s="107" t="s">
        <v>490</v>
      </c>
      <c r="E708" s="128">
        <v>1984</v>
      </c>
      <c r="F708" s="128">
        <v>2009</v>
      </c>
      <c r="G708" s="128" t="s">
        <v>64</v>
      </c>
      <c r="H708" s="128">
        <v>2</v>
      </c>
      <c r="I708" s="128">
        <v>2</v>
      </c>
      <c r="J708" s="63">
        <v>1164.7</v>
      </c>
      <c r="K708" s="63">
        <v>745.9</v>
      </c>
      <c r="L708" s="63">
        <v>304.10000000000002</v>
      </c>
      <c r="M708" s="129">
        <v>37</v>
      </c>
      <c r="N708" s="108">
        <v>9579879.0700000003</v>
      </c>
      <c r="O708" s="63"/>
      <c r="P708" s="62">
        <v>2832786.72</v>
      </c>
      <c r="Q708" s="63"/>
      <c r="R708" s="62">
        <v>253765.33</v>
      </c>
      <c r="S708" s="62">
        <v>2673311.59</v>
      </c>
      <c r="T708" s="62">
        <v>3820015.43</v>
      </c>
      <c r="U708" s="63">
        <v>6750.0347572676601</v>
      </c>
      <c r="V708" s="63">
        <v>6750.0347572676601</v>
      </c>
      <c r="W708" s="59">
        <v>2024</v>
      </c>
      <c r="X708" s="6" t="e">
        <v>#REF!</v>
      </c>
      <c r="Z708" s="62">
        <f t="shared" si="187"/>
        <v>12533218.82</v>
      </c>
      <c r="AA708" s="55">
        <v>2147390.7974609998</v>
      </c>
      <c r="AB708" s="55">
        <v>1306656.8383722</v>
      </c>
      <c r="AC708" s="55">
        <v>615697.18809396005</v>
      </c>
      <c r="AD708" s="55">
        <v>524713.46015088004</v>
      </c>
      <c r="AE708" s="55">
        <v>0</v>
      </c>
      <c r="AF708" s="55"/>
      <c r="AG708" s="55">
        <v>228234.10595495999</v>
      </c>
      <c r="AH708" s="55">
        <v>0</v>
      </c>
      <c r="AI708" s="55">
        <v>6212039.0494932001</v>
      </c>
      <c r="AJ708" s="55">
        <v>0</v>
      </c>
      <c r="AK708" s="55">
        <v>0</v>
      </c>
      <c r="AL708" s="55">
        <v>0</v>
      </c>
      <c r="AM708" s="55">
        <v>1131847.9648</v>
      </c>
      <c r="AN708" s="63">
        <v>125332.1882</v>
      </c>
      <c r="AO708" s="64">
        <v>241307.22747380001</v>
      </c>
      <c r="AP708" s="61">
        <f>+N708-'Приложение №2'!E708</f>
        <v>-9.2860013246536255E-3</v>
      </c>
      <c r="AQ708" s="6" t="e">
        <f>397731.31-#REF!</f>
        <v>#REF!</v>
      </c>
      <c r="AR708" s="3">
        <f>+(K708*10+L708*20)*12*0.85</f>
        <v>138118.19999999998</v>
      </c>
      <c r="AS708" s="3" t="e">
        <f>+(K708*10+L708*20)*12*30-#REF!</f>
        <v>#REF!</v>
      </c>
      <c r="AT708" s="6" t="e">
        <f t="shared" si="188"/>
        <v>#REF!</v>
      </c>
      <c r="AU708" s="6" t="e">
        <v>#REF!</v>
      </c>
      <c r="AV708" s="6" t="e">
        <v>#REF!</v>
      </c>
      <c r="AW708" s="62">
        <f t="shared" si="182"/>
        <v>7087536.49513104</v>
      </c>
      <c r="AX708" s="55"/>
      <c r="AY708" s="55"/>
      <c r="AZ708" s="55"/>
      <c r="BA708" s="55"/>
      <c r="BB708" s="55">
        <v>0</v>
      </c>
      <c r="BC708" s="55"/>
      <c r="BD708" s="55"/>
      <c r="BE708" s="55">
        <v>0</v>
      </c>
      <c r="BF708" s="55">
        <v>6850480.8288420001</v>
      </c>
      <c r="BG708" s="55">
        <v>0</v>
      </c>
      <c r="BH708" s="55">
        <v>0</v>
      </c>
      <c r="BI708" s="55">
        <v>0</v>
      </c>
      <c r="BJ708" s="55"/>
      <c r="BK708" s="63"/>
      <c r="BL708" s="64">
        <v>237055.66628904</v>
      </c>
      <c r="BM708" s="62">
        <f t="shared" si="183"/>
        <v>7087536.49513104</v>
      </c>
      <c r="BN708" s="55"/>
      <c r="BO708" s="55"/>
      <c r="BP708" s="55"/>
      <c r="BQ708" s="55"/>
      <c r="BR708" s="55">
        <v>0</v>
      </c>
      <c r="BS708" s="55"/>
      <c r="BT708" s="55"/>
      <c r="BU708" s="55">
        <v>0</v>
      </c>
      <c r="BV708" s="55">
        <v>6850480.8288420001</v>
      </c>
      <c r="BW708" s="55">
        <v>0</v>
      </c>
      <c r="BX708" s="55">
        <v>0</v>
      </c>
      <c r="BY708" s="55">
        <v>0</v>
      </c>
      <c r="BZ708" s="55"/>
      <c r="CA708" s="63"/>
      <c r="CB708" s="64">
        <v>237055.66628904</v>
      </c>
      <c r="CD708" s="75"/>
      <c r="CE708" s="6"/>
    </row>
    <row r="709" spans="1:83" x14ac:dyDescent="0.25">
      <c r="A709" s="105">
        <f t="shared" si="184"/>
        <v>687</v>
      </c>
      <c r="B709" s="106">
        <f t="shared" si="180"/>
        <v>227</v>
      </c>
      <c r="C709" s="107" t="s">
        <v>206</v>
      </c>
      <c r="D709" s="107" t="s">
        <v>655</v>
      </c>
      <c r="E709" s="128">
        <v>1975</v>
      </c>
      <c r="F709" s="128">
        <v>2008</v>
      </c>
      <c r="G709" s="128" t="s">
        <v>64</v>
      </c>
      <c r="H709" s="128">
        <v>2</v>
      </c>
      <c r="I709" s="128">
        <v>2</v>
      </c>
      <c r="J709" s="63">
        <v>772.26</v>
      </c>
      <c r="K709" s="63">
        <v>695.29</v>
      </c>
      <c r="L709" s="63">
        <v>0</v>
      </c>
      <c r="M709" s="129">
        <v>34</v>
      </c>
      <c r="N709" s="108">
        <v>5313726.6900000004</v>
      </c>
      <c r="O709" s="63"/>
      <c r="P709" s="62">
        <v>353690.85</v>
      </c>
      <c r="Q709" s="63"/>
      <c r="R709" s="62">
        <v>362643.93</v>
      </c>
      <c r="S709" s="62">
        <v>2628196.2000000002</v>
      </c>
      <c r="T709" s="62">
        <v>1969195.71</v>
      </c>
      <c r="U709" s="63">
        <v>7642.4609733625803</v>
      </c>
      <c r="V709" s="63">
        <v>1354.2830200640001</v>
      </c>
      <c r="W709" s="59">
        <v>2024</v>
      </c>
      <c r="X709" s="6" t="e">
        <v>#REF!</v>
      </c>
      <c r="Z709" s="62">
        <f t="shared" si="187"/>
        <v>3527367.4699999997</v>
      </c>
      <c r="AA709" s="55">
        <v>1382229.2362897201</v>
      </c>
      <c r="AB709" s="55">
        <v>841066.88252748002</v>
      </c>
      <c r="AC709" s="55">
        <v>396311.02602629998</v>
      </c>
      <c r="AD709" s="55">
        <v>337746.75668411999</v>
      </c>
      <c r="AE709" s="55">
        <v>0</v>
      </c>
      <c r="AF709" s="55"/>
      <c r="AG709" s="55">
        <v>146909.38508988</v>
      </c>
      <c r="AH709" s="55">
        <v>0</v>
      </c>
      <c r="AI709" s="55">
        <v>0</v>
      </c>
      <c r="AJ709" s="55">
        <v>0</v>
      </c>
      <c r="AK709" s="55">
        <v>0</v>
      </c>
      <c r="AL709" s="55">
        <v>0</v>
      </c>
      <c r="AM709" s="55">
        <v>319946.55780000001</v>
      </c>
      <c r="AN709" s="63">
        <v>35273.674700000003</v>
      </c>
      <c r="AO709" s="64">
        <v>67883.950882499994</v>
      </c>
      <c r="AP709" s="61">
        <f>+N709-'Приложение №2'!E709</f>
        <v>-1.692604273557663E-4</v>
      </c>
      <c r="AQ709" s="65">
        <v>288178.37</v>
      </c>
      <c r="AR709" s="3">
        <f>+(K709*10.5+L709*21)*12*0.85</f>
        <v>74465.559000000008</v>
      </c>
      <c r="AS709" s="3">
        <f>+(K709*10.5+L709*21)*12*30</f>
        <v>2628196.2000000002</v>
      </c>
      <c r="AT709" s="6">
        <f t="shared" si="188"/>
        <v>0</v>
      </c>
      <c r="AU709" s="6" t="e">
        <v>#REF!</v>
      </c>
      <c r="AV709" s="6" t="e">
        <v>#REF!</v>
      </c>
      <c r="AW709" s="110">
        <f t="shared" si="182"/>
        <v>5313726.6901692608</v>
      </c>
      <c r="AX709" s="55">
        <v>2358976.6817569602</v>
      </c>
      <c r="AY709" s="55">
        <v>1427054.7794963201</v>
      </c>
      <c r="AZ709" s="55">
        <v>571344.40088906698</v>
      </c>
      <c r="BA709" s="55">
        <v>585497.25201964704</v>
      </c>
      <c r="BB709" s="55">
        <v>0</v>
      </c>
      <c r="BC709" s="55"/>
      <c r="BD709" s="55">
        <v>257139.82483764499</v>
      </c>
      <c r="BE709" s="55">
        <v>0</v>
      </c>
      <c r="BF709" s="55">
        <v>0</v>
      </c>
      <c r="BG709" s="55">
        <v>0</v>
      </c>
      <c r="BH709" s="55">
        <v>0</v>
      </c>
      <c r="BI709" s="55">
        <v>0</v>
      </c>
      <c r="BJ709" s="55"/>
      <c r="BK709" s="63"/>
      <c r="BL709" s="64">
        <v>113713.751169622</v>
      </c>
      <c r="BM709" s="110">
        <f t="shared" si="183"/>
        <v>5313726.6901692608</v>
      </c>
      <c r="BN709" s="55">
        <v>2358976.6817569602</v>
      </c>
      <c r="BO709" s="55">
        <v>1427054.7794963201</v>
      </c>
      <c r="BP709" s="55">
        <v>571344.40088906698</v>
      </c>
      <c r="BQ709" s="55">
        <v>585497.25201964704</v>
      </c>
      <c r="BR709" s="55">
        <v>0</v>
      </c>
      <c r="BS709" s="55"/>
      <c r="BT709" s="55">
        <v>257139.82483764499</v>
      </c>
      <c r="BU709" s="55">
        <v>0</v>
      </c>
      <c r="BV709" s="55">
        <v>0</v>
      </c>
      <c r="BW709" s="55">
        <v>0</v>
      </c>
      <c r="BX709" s="55">
        <v>0</v>
      </c>
      <c r="BY709" s="55">
        <v>0</v>
      </c>
      <c r="BZ709" s="55"/>
      <c r="CA709" s="63"/>
      <c r="CB709" s="64">
        <v>113713.751169622</v>
      </c>
      <c r="CD709" s="75"/>
      <c r="CE709" s="6"/>
    </row>
    <row r="710" spans="1:83" x14ac:dyDescent="0.25">
      <c r="A710" s="105">
        <f t="shared" si="184"/>
        <v>688</v>
      </c>
      <c r="B710" s="106">
        <f t="shared" si="180"/>
        <v>228</v>
      </c>
      <c r="C710" s="107" t="s">
        <v>206</v>
      </c>
      <c r="D710" s="107" t="s">
        <v>656</v>
      </c>
      <c r="E710" s="128">
        <v>1969</v>
      </c>
      <c r="F710" s="128">
        <v>1969</v>
      </c>
      <c r="G710" s="128" t="s">
        <v>64</v>
      </c>
      <c r="H710" s="128">
        <v>2</v>
      </c>
      <c r="I710" s="128">
        <v>2</v>
      </c>
      <c r="J710" s="63">
        <v>842.59</v>
      </c>
      <c r="K710" s="63">
        <v>626.4</v>
      </c>
      <c r="L710" s="63">
        <v>216.19</v>
      </c>
      <c r="M710" s="129">
        <v>29</v>
      </c>
      <c r="N710" s="108">
        <v>707527.11</v>
      </c>
      <c r="O710" s="63"/>
      <c r="P710" s="63"/>
      <c r="Q710" s="63"/>
      <c r="R710" s="62">
        <v>195852.44</v>
      </c>
      <c r="S710" s="62">
        <v>511674.67</v>
      </c>
      <c r="T710" s="63"/>
      <c r="U710" s="63">
        <v>1129.51325702398</v>
      </c>
      <c r="V710" s="63">
        <v>1351.2830200640001</v>
      </c>
      <c r="W710" s="59">
        <v>2024</v>
      </c>
      <c r="X710" s="6" t="e">
        <v>#REF!</v>
      </c>
      <c r="Z710" s="62">
        <f t="shared" si="187"/>
        <v>603292.09999999986</v>
      </c>
      <c r="AA710" s="55">
        <v>0</v>
      </c>
      <c r="AB710" s="55">
        <v>0</v>
      </c>
      <c r="AC710" s="55">
        <v>525439.66766339995</v>
      </c>
      <c r="AD710" s="55">
        <v>0</v>
      </c>
      <c r="AE710" s="55">
        <v>0</v>
      </c>
      <c r="AF710" s="55"/>
      <c r="AG710" s="55">
        <v>0</v>
      </c>
      <c r="AH710" s="55">
        <v>0</v>
      </c>
      <c r="AI710" s="55">
        <v>0</v>
      </c>
      <c r="AJ710" s="55">
        <v>0</v>
      </c>
      <c r="AK710" s="55">
        <v>0</v>
      </c>
      <c r="AL710" s="55">
        <v>0</v>
      </c>
      <c r="AM710" s="55">
        <v>60329.21</v>
      </c>
      <c r="AN710" s="63">
        <v>6032.9210000000003</v>
      </c>
      <c r="AO710" s="64">
        <v>11490.3013366</v>
      </c>
      <c r="AP710" s="61">
        <f>+N710-'Приложение №2'!E710</f>
        <v>5.8001818833872676E-3</v>
      </c>
      <c r="AQ710" s="1">
        <f>379343.67-296886.57</f>
        <v>82457.099999999977</v>
      </c>
      <c r="AR710" s="3">
        <f>+(K710*10.5+L710*21)*12*0.85</f>
        <v>113395.33799999997</v>
      </c>
      <c r="AS710" s="3">
        <f>+(K710*10.5+L710*21)*12*30-514905.43</f>
        <v>3487282.9699999988</v>
      </c>
      <c r="AT710" s="6">
        <f t="shared" si="188"/>
        <v>-2975608.2999999989</v>
      </c>
      <c r="AU710" s="6" t="e">
        <v>#REF!</v>
      </c>
      <c r="AV710" s="6" t="e">
        <v>#REF!</v>
      </c>
      <c r="AW710" s="110">
        <f t="shared" si="182"/>
        <v>707527.1041998181</v>
      </c>
      <c r="AX710" s="55">
        <v>0</v>
      </c>
      <c r="AY710" s="55">
        <v>0</v>
      </c>
      <c r="AZ710" s="55">
        <v>692386.02416994201</v>
      </c>
      <c r="BA710" s="55">
        <v>0</v>
      </c>
      <c r="BB710" s="55">
        <v>0</v>
      </c>
      <c r="BC710" s="55"/>
      <c r="BD710" s="55"/>
      <c r="BE710" s="55">
        <v>0</v>
      </c>
      <c r="BF710" s="55">
        <v>0</v>
      </c>
      <c r="BG710" s="55">
        <v>0</v>
      </c>
      <c r="BH710" s="55">
        <v>0</v>
      </c>
      <c r="BI710" s="55">
        <v>0</v>
      </c>
      <c r="BJ710" s="55"/>
      <c r="BK710" s="63"/>
      <c r="BL710" s="64">
        <v>15141.080029876101</v>
      </c>
      <c r="BM710" s="110">
        <f t="shared" si="183"/>
        <v>707527.1041998181</v>
      </c>
      <c r="BN710" s="55">
        <v>0</v>
      </c>
      <c r="BO710" s="55">
        <v>0</v>
      </c>
      <c r="BP710" s="55">
        <v>692386.02416994201</v>
      </c>
      <c r="BQ710" s="55">
        <v>0</v>
      </c>
      <c r="BR710" s="55">
        <v>0</v>
      </c>
      <c r="BS710" s="55"/>
      <c r="BT710" s="55"/>
      <c r="BU710" s="55">
        <v>0</v>
      </c>
      <c r="BV710" s="55">
        <v>0</v>
      </c>
      <c r="BW710" s="55">
        <v>0</v>
      </c>
      <c r="BX710" s="55">
        <v>0</v>
      </c>
      <c r="BY710" s="55">
        <v>0</v>
      </c>
      <c r="BZ710" s="55"/>
      <c r="CA710" s="63"/>
      <c r="CB710" s="64">
        <v>15141.080029876101</v>
      </c>
      <c r="CD710" s="75"/>
      <c r="CE710" s="6"/>
    </row>
    <row r="711" spans="1:83" x14ac:dyDescent="0.25">
      <c r="A711" s="105">
        <f t="shared" si="184"/>
        <v>689</v>
      </c>
      <c r="B711" s="106">
        <f t="shared" si="180"/>
        <v>229</v>
      </c>
      <c r="C711" s="107" t="s">
        <v>206</v>
      </c>
      <c r="D711" s="107" t="s">
        <v>657</v>
      </c>
      <c r="E711" s="128">
        <v>1963</v>
      </c>
      <c r="F711" s="128">
        <v>2008</v>
      </c>
      <c r="G711" s="128" t="s">
        <v>64</v>
      </c>
      <c r="H711" s="128">
        <v>2</v>
      </c>
      <c r="I711" s="128">
        <v>2</v>
      </c>
      <c r="J711" s="63">
        <v>815.23</v>
      </c>
      <c r="K711" s="63">
        <v>621.87</v>
      </c>
      <c r="L711" s="63">
        <v>0</v>
      </c>
      <c r="M711" s="129">
        <v>50</v>
      </c>
      <c r="N711" s="108">
        <v>2130214.14</v>
      </c>
      <c r="O711" s="63"/>
      <c r="P711" s="63"/>
      <c r="Q711" s="63"/>
      <c r="R711" s="62">
        <v>359794.98</v>
      </c>
      <c r="S711" s="62">
        <v>1770419.16</v>
      </c>
      <c r="T711" s="63"/>
      <c r="U711" s="63">
        <v>3425.4975134669598</v>
      </c>
      <c r="V711" s="63">
        <v>1352.2830200640001</v>
      </c>
      <c r="W711" s="59">
        <v>2024</v>
      </c>
      <c r="X711" s="6" t="e">
        <v>#REF!</v>
      </c>
      <c r="Z711" s="62">
        <f t="shared" si="187"/>
        <v>2343434.8514670692</v>
      </c>
      <c r="AA711" s="55">
        <v>0</v>
      </c>
      <c r="AB711" s="55">
        <v>0</v>
      </c>
      <c r="AC711" s="55">
        <v>468089.23673358001</v>
      </c>
      <c r="AD711" s="55">
        <v>0</v>
      </c>
      <c r="AE711" s="55">
        <v>0</v>
      </c>
      <c r="AF711" s="55"/>
      <c r="AG711" s="55">
        <v>0</v>
      </c>
      <c r="AH711" s="55">
        <v>0</v>
      </c>
      <c r="AI711" s="55">
        <v>0</v>
      </c>
      <c r="AJ711" s="55">
        <v>0</v>
      </c>
      <c r="AK711" s="55">
        <v>0</v>
      </c>
      <c r="AL711" s="55">
        <v>1572934.7208910701</v>
      </c>
      <c r="AM711" s="55">
        <v>234343.48514670701</v>
      </c>
      <c r="AN711" s="63">
        <v>23434.348514670699</v>
      </c>
      <c r="AO711" s="64">
        <v>44633.060181041903</v>
      </c>
      <c r="AP711" s="61">
        <f>+N711-'Приложение №2'!E711</f>
        <v>1.3002962805330753E-3</v>
      </c>
      <c r="AQ711" s="65">
        <v>293192.7</v>
      </c>
      <c r="AR711" s="3">
        <f>+(K711*10.5+L711*21)*12*0.85</f>
        <v>66602.276999999987</v>
      </c>
      <c r="AS711" s="3">
        <f>+(K711*10.5+L711*21)*12*30</f>
        <v>2350668.5999999996</v>
      </c>
      <c r="AT711" s="6">
        <f t="shared" si="188"/>
        <v>-580249.43999999971</v>
      </c>
      <c r="AU711" s="6" t="e">
        <v>#REF!</v>
      </c>
      <c r="AV711" s="6" t="e">
        <v>#REF!</v>
      </c>
      <c r="AW711" s="110">
        <f t="shared" si="182"/>
        <v>2130214.1386997038</v>
      </c>
      <c r="AX711" s="55">
        <v>0</v>
      </c>
      <c r="AY711" s="55">
        <v>0</v>
      </c>
      <c r="AZ711" s="55"/>
      <c r="BA711" s="55">
        <v>0</v>
      </c>
      <c r="BB711" s="55">
        <v>0</v>
      </c>
      <c r="BC711" s="55"/>
      <c r="BD711" s="55"/>
      <c r="BE711" s="55">
        <v>0</v>
      </c>
      <c r="BF711" s="55">
        <v>0</v>
      </c>
      <c r="BG711" s="55">
        <v>0</v>
      </c>
      <c r="BH711" s="55">
        <v>0</v>
      </c>
      <c r="BI711" s="55">
        <v>2084627.5561315301</v>
      </c>
      <c r="BJ711" s="55"/>
      <c r="BK711" s="63"/>
      <c r="BL711" s="64">
        <v>45586.582568173602</v>
      </c>
      <c r="BM711" s="110">
        <f t="shared" si="183"/>
        <v>2130214.1386997038</v>
      </c>
      <c r="BN711" s="55">
        <v>0</v>
      </c>
      <c r="BO711" s="55">
        <v>0</v>
      </c>
      <c r="BP711" s="55"/>
      <c r="BQ711" s="55">
        <v>0</v>
      </c>
      <c r="BR711" s="55">
        <v>0</v>
      </c>
      <c r="BS711" s="55"/>
      <c r="BT711" s="55"/>
      <c r="BU711" s="55">
        <v>0</v>
      </c>
      <c r="BV711" s="55">
        <v>0</v>
      </c>
      <c r="BW711" s="55">
        <v>0</v>
      </c>
      <c r="BX711" s="55">
        <v>0</v>
      </c>
      <c r="BY711" s="55">
        <v>2084627.5561315301</v>
      </c>
      <c r="BZ711" s="55"/>
      <c r="CA711" s="63"/>
      <c r="CB711" s="64">
        <v>45586.582568173602</v>
      </c>
      <c r="CD711" s="75"/>
      <c r="CE711" s="6"/>
    </row>
    <row r="712" spans="1:83" x14ac:dyDescent="0.25">
      <c r="A712" s="105">
        <f t="shared" si="184"/>
        <v>690</v>
      </c>
      <c r="B712" s="106">
        <f t="shared" si="180"/>
        <v>230</v>
      </c>
      <c r="C712" s="107" t="s">
        <v>206</v>
      </c>
      <c r="D712" s="107" t="s">
        <v>658</v>
      </c>
      <c r="E712" s="128">
        <v>1971</v>
      </c>
      <c r="F712" s="128">
        <v>2009</v>
      </c>
      <c r="G712" s="128" t="s">
        <v>64</v>
      </c>
      <c r="H712" s="128">
        <v>4</v>
      </c>
      <c r="I712" s="128">
        <v>4</v>
      </c>
      <c r="J712" s="63">
        <v>3316.04</v>
      </c>
      <c r="K712" s="63">
        <v>2384.75</v>
      </c>
      <c r="L712" s="63">
        <v>776.54</v>
      </c>
      <c r="M712" s="129">
        <v>114</v>
      </c>
      <c r="N712" s="108">
        <v>3122988.68</v>
      </c>
      <c r="O712" s="63"/>
      <c r="P712" s="63"/>
      <c r="Q712" s="63"/>
      <c r="R712" s="62">
        <v>3122988.68</v>
      </c>
      <c r="S712" s="63"/>
      <c r="T712" s="63"/>
      <c r="U712" s="63">
        <v>1309.56648633892</v>
      </c>
      <c r="V712" s="63">
        <v>1353.2830200640001</v>
      </c>
      <c r="W712" s="59">
        <v>2024</v>
      </c>
      <c r="X712" s="6" t="e">
        <v>#REF!</v>
      </c>
      <c r="Z712" s="62">
        <f t="shared" si="187"/>
        <v>1136772.4099999999</v>
      </c>
      <c r="AA712" s="55">
        <v>0</v>
      </c>
      <c r="AB712" s="55">
        <v>0</v>
      </c>
      <c r="AC712" s="55">
        <v>990076.47757913999</v>
      </c>
      <c r="AD712" s="55">
        <v>0</v>
      </c>
      <c r="AE712" s="55">
        <v>0</v>
      </c>
      <c r="AF712" s="55"/>
      <c r="AG712" s="55">
        <v>0</v>
      </c>
      <c r="AH712" s="55">
        <v>0</v>
      </c>
      <c r="AI712" s="55">
        <v>0</v>
      </c>
      <c r="AJ712" s="55">
        <v>0</v>
      </c>
      <c r="AK712" s="55">
        <v>0</v>
      </c>
      <c r="AL712" s="55">
        <v>0</v>
      </c>
      <c r="AM712" s="55">
        <v>113677.24099999999</v>
      </c>
      <c r="AN712" s="63">
        <v>11367.724099999999</v>
      </c>
      <c r="AO712" s="64">
        <v>21650.96732086</v>
      </c>
      <c r="AP712" s="61">
        <f>+N712-'Приложение №2'!E712</f>
        <v>1.7032702453434467E-3</v>
      </c>
      <c r="AQ712" s="65">
        <v>1345308.35</v>
      </c>
      <c r="AR712" s="3">
        <f>+(K712*10.5+L712*21)*12*0.85</f>
        <v>421741.59299999994</v>
      </c>
      <c r="AS712" s="3">
        <f>+(K712*10.5+L712*21)*12*30</f>
        <v>14884997.399999999</v>
      </c>
      <c r="AT712" s="6">
        <f t="shared" si="188"/>
        <v>-14884997.399999999</v>
      </c>
      <c r="AU712" s="6" t="e">
        <v>#REF!</v>
      </c>
      <c r="AV712" s="6" t="e">
        <v>#REF!</v>
      </c>
      <c r="AW712" s="110">
        <f t="shared" si="182"/>
        <v>3122988.6782967299</v>
      </c>
      <c r="AX712" s="55">
        <v>0</v>
      </c>
      <c r="AY712" s="55">
        <v>0</v>
      </c>
      <c r="AZ712" s="55">
        <v>3056156.72058118</v>
      </c>
      <c r="BA712" s="55">
        <v>0</v>
      </c>
      <c r="BB712" s="55">
        <v>0</v>
      </c>
      <c r="BC712" s="55"/>
      <c r="BD712" s="55"/>
      <c r="BE712" s="55">
        <v>0</v>
      </c>
      <c r="BF712" s="55">
        <v>0</v>
      </c>
      <c r="BG712" s="55">
        <v>0</v>
      </c>
      <c r="BH712" s="55">
        <v>0</v>
      </c>
      <c r="BI712" s="55">
        <v>0</v>
      </c>
      <c r="BJ712" s="55"/>
      <c r="BK712" s="63"/>
      <c r="BL712" s="64">
        <v>66831.957715550103</v>
      </c>
      <c r="BM712" s="110">
        <f t="shared" si="183"/>
        <v>3122988.6782967299</v>
      </c>
      <c r="BN712" s="55">
        <v>0</v>
      </c>
      <c r="BO712" s="55">
        <v>0</v>
      </c>
      <c r="BP712" s="55">
        <v>3056156.72058118</v>
      </c>
      <c r="BQ712" s="55">
        <v>0</v>
      </c>
      <c r="BR712" s="55">
        <v>0</v>
      </c>
      <c r="BS712" s="55"/>
      <c r="BT712" s="55"/>
      <c r="BU712" s="55">
        <v>0</v>
      </c>
      <c r="BV712" s="55">
        <v>0</v>
      </c>
      <c r="BW712" s="55">
        <v>0</v>
      </c>
      <c r="BX712" s="55">
        <v>0</v>
      </c>
      <c r="BY712" s="55">
        <v>0</v>
      </c>
      <c r="BZ712" s="55"/>
      <c r="CA712" s="63"/>
      <c r="CB712" s="64">
        <v>66831.957715550103</v>
      </c>
      <c r="CD712" s="75"/>
      <c r="CE712" s="6"/>
    </row>
    <row r="713" spans="1:83" x14ac:dyDescent="0.25">
      <c r="A713" s="105">
        <f t="shared" si="184"/>
        <v>691</v>
      </c>
      <c r="B713" s="106">
        <f t="shared" si="180"/>
        <v>231</v>
      </c>
      <c r="C713" s="107" t="s">
        <v>206</v>
      </c>
      <c r="D713" s="107" t="s">
        <v>209</v>
      </c>
      <c r="E713" s="54">
        <v>1975</v>
      </c>
      <c r="F713" s="54">
        <v>2008</v>
      </c>
      <c r="G713" s="54" t="s">
        <v>64</v>
      </c>
      <c r="H713" s="54">
        <v>4</v>
      </c>
      <c r="I713" s="54">
        <v>4</v>
      </c>
      <c r="J713" s="55">
        <v>4182.96</v>
      </c>
      <c r="K713" s="55">
        <v>3048.03</v>
      </c>
      <c r="L713" s="55">
        <v>978.37</v>
      </c>
      <c r="M713" s="56">
        <v>135</v>
      </c>
      <c r="N713" s="108">
        <v>2747060.54</v>
      </c>
      <c r="O713" s="63"/>
      <c r="P713" s="63"/>
      <c r="Q713" s="63"/>
      <c r="R713" s="63"/>
      <c r="S713" s="62">
        <v>2747060.54</v>
      </c>
      <c r="T713" s="63"/>
      <c r="U713" s="55">
        <v>1849.23882793194</v>
      </c>
      <c r="V713" s="55">
        <v>1849.23882793194</v>
      </c>
      <c r="W713" s="59">
        <v>2024</v>
      </c>
      <c r="X713" s="6" t="e">
        <v>#REF!</v>
      </c>
      <c r="Z713" s="62">
        <f t="shared" si="187"/>
        <v>16048675.259999998</v>
      </c>
      <c r="AA713" s="55">
        <v>7026285.4671664201</v>
      </c>
      <c r="AB713" s="55">
        <v>2485979.4267953401</v>
      </c>
      <c r="AC713" s="55">
        <v>0</v>
      </c>
      <c r="AD713" s="55">
        <v>1626070.4809314001</v>
      </c>
      <c r="AE713" s="55">
        <v>2080726.7578889399</v>
      </c>
      <c r="AF713" s="55"/>
      <c r="AG713" s="55">
        <v>278790.22600296</v>
      </c>
      <c r="AH713" s="55">
        <v>0</v>
      </c>
      <c r="AI713" s="55">
        <v>0</v>
      </c>
      <c r="AJ713" s="55">
        <v>0</v>
      </c>
      <c r="AK713" s="55">
        <v>0</v>
      </c>
      <c r="AL713" s="55">
        <v>0</v>
      </c>
      <c r="AM713" s="55">
        <v>2095165.4553</v>
      </c>
      <c r="AN713" s="63">
        <v>160486.75260000001</v>
      </c>
      <c r="AO713" s="64">
        <v>295170.69331494003</v>
      </c>
      <c r="AP713" s="61">
        <f>+N713-'Приложение №2'!E712</f>
        <v>-375928.13829672989</v>
      </c>
      <c r="AQ713" s="1">
        <f>1500891.17-445165.35</f>
        <v>1055725.8199999998</v>
      </c>
      <c r="AR713" s="3">
        <f>+(K713*10+L713*20)*12*0.85</f>
        <v>510486.54</v>
      </c>
      <c r="AS713" s="3">
        <f>+(K713*10+L713*20)*12*30-179374.89</f>
        <v>17837797.109999999</v>
      </c>
      <c r="AT713" s="6">
        <f t="shared" si="188"/>
        <v>-15090736.57</v>
      </c>
      <c r="AU713" s="6" t="e">
        <v>#REF!</v>
      </c>
      <c r="AV713" s="6" t="e">
        <v>#REF!</v>
      </c>
      <c r="AW713" s="62">
        <f t="shared" si="182"/>
        <v>6482605.1367851608</v>
      </c>
      <c r="AX713" s="55"/>
      <c r="AY713" s="55">
        <v>2485979.4267953401</v>
      </c>
      <c r="AZ713" s="55">
        <v>0</v>
      </c>
      <c r="BA713" s="55">
        <v>1661185.08</v>
      </c>
      <c r="BB713" s="55"/>
      <c r="BC713" s="55"/>
      <c r="BD713" s="55"/>
      <c r="BE713" s="55">
        <v>0</v>
      </c>
      <c r="BF713" s="55">
        <v>0</v>
      </c>
      <c r="BG713" s="55">
        <v>2047663.62</v>
      </c>
      <c r="BH713" s="55">
        <v>0</v>
      </c>
      <c r="BI713" s="55"/>
      <c r="BJ713" s="55"/>
      <c r="BK713" s="63"/>
      <c r="BL713" s="111">
        <v>287777.00998982001</v>
      </c>
      <c r="BM713" s="62">
        <f t="shared" si="183"/>
        <v>7445775.2167851608</v>
      </c>
      <c r="BN713" s="55"/>
      <c r="BO713" s="55">
        <v>2485979.4267953401</v>
      </c>
      <c r="BP713" s="55">
        <v>0</v>
      </c>
      <c r="BQ713" s="55">
        <v>1661185.08</v>
      </c>
      <c r="BR713" s="55"/>
      <c r="BS713" s="55"/>
      <c r="BT713" s="55"/>
      <c r="BU713" s="55">
        <v>0</v>
      </c>
      <c r="BV713" s="55">
        <v>0</v>
      </c>
      <c r="BW713" s="55">
        <v>3010833.7</v>
      </c>
      <c r="BX713" s="55">
        <v>0</v>
      </c>
      <c r="BY713" s="55"/>
      <c r="BZ713" s="55"/>
      <c r="CA713" s="63"/>
      <c r="CB713" s="64">
        <v>287777.00998982001</v>
      </c>
      <c r="CD713" s="75"/>
      <c r="CE713" s="6"/>
    </row>
    <row r="714" spans="1:83" x14ac:dyDescent="0.25">
      <c r="A714" s="105">
        <f t="shared" si="184"/>
        <v>692</v>
      </c>
      <c r="B714" s="106">
        <f t="shared" si="180"/>
        <v>232</v>
      </c>
      <c r="C714" s="107" t="s">
        <v>206</v>
      </c>
      <c r="D714" s="107" t="s">
        <v>659</v>
      </c>
      <c r="E714" s="128">
        <v>1962</v>
      </c>
      <c r="F714" s="128">
        <v>2003</v>
      </c>
      <c r="G714" s="128" t="s">
        <v>64</v>
      </c>
      <c r="H714" s="128">
        <v>2</v>
      </c>
      <c r="I714" s="128">
        <v>2</v>
      </c>
      <c r="J714" s="63">
        <v>1001.33</v>
      </c>
      <c r="K714" s="63">
        <v>596.02</v>
      </c>
      <c r="L714" s="63">
        <v>0</v>
      </c>
      <c r="M714" s="129">
        <v>24</v>
      </c>
      <c r="N714" s="108">
        <v>500481.02</v>
      </c>
      <c r="O714" s="63"/>
      <c r="P714" s="63"/>
      <c r="Q714" s="63"/>
      <c r="R714" s="62">
        <v>157058.32</v>
      </c>
      <c r="S714" s="62">
        <v>343422.7</v>
      </c>
      <c r="T714" s="63"/>
      <c r="U714" s="63">
        <v>839.70508100003406</v>
      </c>
      <c r="V714" s="63">
        <v>1355.2830200640001</v>
      </c>
      <c r="W714" s="59">
        <v>2024</v>
      </c>
      <c r="X714" s="6" t="e">
        <v>#REF!</v>
      </c>
      <c r="Z714" s="62">
        <f t="shared" si="187"/>
        <v>613491.43999999994</v>
      </c>
      <c r="AA714" s="55">
        <v>0</v>
      </c>
      <c r="AB714" s="55">
        <v>0</v>
      </c>
      <c r="AC714" s="55">
        <v>534322.82363375998</v>
      </c>
      <c r="AD714" s="55">
        <v>0</v>
      </c>
      <c r="AE714" s="55">
        <v>0</v>
      </c>
      <c r="AF714" s="55"/>
      <c r="AG714" s="55">
        <v>0</v>
      </c>
      <c r="AH714" s="55">
        <v>0</v>
      </c>
      <c r="AI714" s="55">
        <v>0</v>
      </c>
      <c r="AJ714" s="55">
        <v>0</v>
      </c>
      <c r="AK714" s="55">
        <v>0</v>
      </c>
      <c r="AL714" s="55">
        <v>0</v>
      </c>
      <c r="AM714" s="55">
        <v>61349.144</v>
      </c>
      <c r="AN714" s="63">
        <v>6134.9143999999997</v>
      </c>
      <c r="AO714" s="64">
        <v>11684.55796624</v>
      </c>
      <c r="AP714" s="61">
        <f>+N714-'Приложение №2'!E714</f>
        <v>-2.3776404559612274E-3</v>
      </c>
      <c r="AQ714" s="1">
        <f>316247.29-223022.71</f>
        <v>93224.579999999987</v>
      </c>
      <c r="AR714" s="3">
        <f>+(K714*10.5+L714*21)*12*0.85</f>
        <v>63833.741999999998</v>
      </c>
      <c r="AS714" s="3">
        <f>+(K714*10.5+L714*21)*12*30-1056428.77</f>
        <v>1196526.83</v>
      </c>
      <c r="AT714" s="6">
        <f t="shared" si="188"/>
        <v>-853104.13000000012</v>
      </c>
      <c r="AU714" s="6" t="e">
        <v>#REF!</v>
      </c>
      <c r="AV714" s="6" t="e">
        <v>#REF!</v>
      </c>
      <c r="AW714" s="110">
        <f t="shared" si="182"/>
        <v>500481.02237764047</v>
      </c>
      <c r="AX714" s="55">
        <v>0</v>
      </c>
      <c r="AY714" s="55">
        <v>0</v>
      </c>
      <c r="AZ714" s="55">
        <v>489770.72849875898</v>
      </c>
      <c r="BA714" s="55">
        <v>0</v>
      </c>
      <c r="BB714" s="55">
        <v>0</v>
      </c>
      <c r="BC714" s="55"/>
      <c r="BD714" s="55"/>
      <c r="BE714" s="55">
        <v>0</v>
      </c>
      <c r="BF714" s="55">
        <v>0</v>
      </c>
      <c r="BG714" s="55">
        <v>0</v>
      </c>
      <c r="BH714" s="55">
        <v>0</v>
      </c>
      <c r="BI714" s="55">
        <v>0</v>
      </c>
      <c r="BJ714" s="55"/>
      <c r="BK714" s="63"/>
      <c r="BL714" s="64">
        <v>10710.293878881501</v>
      </c>
      <c r="BM714" s="110">
        <f t="shared" si="183"/>
        <v>500481.02237764047</v>
      </c>
      <c r="BN714" s="55">
        <v>0</v>
      </c>
      <c r="BO714" s="55">
        <v>0</v>
      </c>
      <c r="BP714" s="55">
        <v>489770.72849875898</v>
      </c>
      <c r="BQ714" s="55">
        <v>0</v>
      </c>
      <c r="BR714" s="55">
        <v>0</v>
      </c>
      <c r="BS714" s="55"/>
      <c r="BT714" s="55"/>
      <c r="BU714" s="55">
        <v>0</v>
      </c>
      <c r="BV714" s="55">
        <v>0</v>
      </c>
      <c r="BW714" s="55">
        <v>0</v>
      </c>
      <c r="BX714" s="55">
        <v>0</v>
      </c>
      <c r="BY714" s="55">
        <v>0</v>
      </c>
      <c r="BZ714" s="55"/>
      <c r="CA714" s="63"/>
      <c r="CB714" s="64">
        <v>10710.293878881501</v>
      </c>
      <c r="CD714" s="75"/>
      <c r="CE714" s="6"/>
    </row>
    <row r="715" spans="1:83" x14ac:dyDescent="0.25">
      <c r="A715" s="105">
        <f t="shared" si="184"/>
        <v>693</v>
      </c>
      <c r="B715" s="106">
        <f t="shared" si="180"/>
        <v>233</v>
      </c>
      <c r="C715" s="107" t="s">
        <v>206</v>
      </c>
      <c r="D715" s="107" t="s">
        <v>660</v>
      </c>
      <c r="E715" s="128">
        <v>1962</v>
      </c>
      <c r="F715" s="128">
        <v>2004</v>
      </c>
      <c r="G715" s="128" t="s">
        <v>64</v>
      </c>
      <c r="H715" s="128">
        <v>2</v>
      </c>
      <c r="I715" s="128">
        <v>2</v>
      </c>
      <c r="J715" s="63">
        <v>1037.76</v>
      </c>
      <c r="K715" s="63">
        <v>623.46</v>
      </c>
      <c r="L715" s="63">
        <v>0</v>
      </c>
      <c r="M715" s="129">
        <v>19</v>
      </c>
      <c r="N715" s="108">
        <v>523522.53</v>
      </c>
      <c r="O715" s="63"/>
      <c r="P715" s="63"/>
      <c r="Q715" s="63"/>
      <c r="R715" s="62">
        <v>153627.75</v>
      </c>
      <c r="S715" s="62">
        <v>369894.78</v>
      </c>
      <c r="T715" s="63"/>
      <c r="U715" s="63">
        <v>839.70508100003406</v>
      </c>
      <c r="V715" s="63">
        <v>1356.2830200640001</v>
      </c>
      <c r="W715" s="59">
        <v>2024</v>
      </c>
      <c r="X715" s="6" t="e">
        <v>#REF!</v>
      </c>
      <c r="Z715" s="62">
        <f t="shared" si="187"/>
        <v>597166.72</v>
      </c>
      <c r="AA715" s="55">
        <v>0</v>
      </c>
      <c r="AB715" s="55">
        <v>0</v>
      </c>
      <c r="AC715" s="55">
        <v>520104.74345087999</v>
      </c>
      <c r="AD715" s="55">
        <v>0</v>
      </c>
      <c r="AE715" s="55">
        <v>0</v>
      </c>
      <c r="AF715" s="55"/>
      <c r="AG715" s="55">
        <v>0</v>
      </c>
      <c r="AH715" s="55">
        <v>0</v>
      </c>
      <c r="AI715" s="55">
        <v>0</v>
      </c>
      <c r="AJ715" s="55">
        <v>0</v>
      </c>
      <c r="AK715" s="55">
        <v>0</v>
      </c>
      <c r="AL715" s="55">
        <v>0</v>
      </c>
      <c r="AM715" s="55">
        <v>59716.671999999999</v>
      </c>
      <c r="AN715" s="63">
        <v>5971.6671999999999</v>
      </c>
      <c r="AO715" s="64">
        <v>11373.637349119999</v>
      </c>
      <c r="AP715" s="61">
        <f>+N715-'Приложение №2'!E715</f>
        <v>1.9971904112026095E-4</v>
      </c>
      <c r="AQ715" s="1">
        <f>332016.62-245161.44</f>
        <v>86855.18</v>
      </c>
      <c r="AR715" s="3">
        <f>+(K715*10.5+L715*21)*12*0.85</f>
        <v>66772.565999999992</v>
      </c>
      <c r="AS715" s="3">
        <f>+(K715*10.5+L715*21)*12*30-1022746.46</f>
        <v>1333932.3399999999</v>
      </c>
      <c r="AT715" s="6">
        <f t="shared" si="188"/>
        <v>-964037.55999999982</v>
      </c>
      <c r="AU715" s="6" t="e">
        <v>#REF!</v>
      </c>
      <c r="AV715" s="6" t="e">
        <v>#REF!</v>
      </c>
      <c r="AW715" s="110">
        <f t="shared" si="182"/>
        <v>523522.52980028099</v>
      </c>
      <c r="AX715" s="55">
        <v>0</v>
      </c>
      <c r="AY715" s="55">
        <v>0</v>
      </c>
      <c r="AZ715" s="55">
        <v>512319.14766255498</v>
      </c>
      <c r="BA715" s="55">
        <v>0</v>
      </c>
      <c r="BB715" s="55">
        <v>0</v>
      </c>
      <c r="BC715" s="55"/>
      <c r="BD715" s="55"/>
      <c r="BE715" s="55">
        <v>0</v>
      </c>
      <c r="BF715" s="55">
        <v>0</v>
      </c>
      <c r="BG715" s="55">
        <v>0</v>
      </c>
      <c r="BH715" s="55">
        <v>0</v>
      </c>
      <c r="BI715" s="55">
        <v>0</v>
      </c>
      <c r="BJ715" s="55"/>
      <c r="BK715" s="63"/>
      <c r="BL715" s="64">
        <v>11203.382137725999</v>
      </c>
      <c r="BM715" s="110">
        <f t="shared" si="183"/>
        <v>523522.52980028099</v>
      </c>
      <c r="BN715" s="55">
        <v>0</v>
      </c>
      <c r="BO715" s="55">
        <v>0</v>
      </c>
      <c r="BP715" s="55">
        <v>512319.14766255498</v>
      </c>
      <c r="BQ715" s="55">
        <v>0</v>
      </c>
      <c r="BR715" s="55">
        <v>0</v>
      </c>
      <c r="BS715" s="55"/>
      <c r="BT715" s="55"/>
      <c r="BU715" s="55">
        <v>0</v>
      </c>
      <c r="BV715" s="55">
        <v>0</v>
      </c>
      <c r="BW715" s="55">
        <v>0</v>
      </c>
      <c r="BX715" s="55">
        <v>0</v>
      </c>
      <c r="BY715" s="55">
        <v>0</v>
      </c>
      <c r="BZ715" s="55"/>
      <c r="CA715" s="63"/>
      <c r="CB715" s="64">
        <v>11203.382137725999</v>
      </c>
      <c r="CD715" s="75"/>
      <c r="CE715" s="6"/>
    </row>
    <row r="716" spans="1:83" x14ac:dyDescent="0.25">
      <c r="A716" s="105">
        <f t="shared" si="184"/>
        <v>694</v>
      </c>
      <c r="B716" s="106">
        <f t="shared" si="180"/>
        <v>234</v>
      </c>
      <c r="C716" s="107" t="s">
        <v>206</v>
      </c>
      <c r="D716" s="107" t="s">
        <v>661</v>
      </c>
      <c r="E716" s="128">
        <v>1961</v>
      </c>
      <c r="F716" s="128">
        <v>2004</v>
      </c>
      <c r="G716" s="128" t="s">
        <v>64</v>
      </c>
      <c r="H716" s="128">
        <v>2</v>
      </c>
      <c r="I716" s="128">
        <v>2</v>
      </c>
      <c r="J716" s="63">
        <v>1023.9</v>
      </c>
      <c r="K716" s="63">
        <v>621.22</v>
      </c>
      <c r="L716" s="63">
        <v>0</v>
      </c>
      <c r="M716" s="129">
        <v>19</v>
      </c>
      <c r="N716" s="108">
        <v>521641.59</v>
      </c>
      <c r="O716" s="63"/>
      <c r="P716" s="63"/>
      <c r="Q716" s="63"/>
      <c r="R716" s="62">
        <v>218338.99</v>
      </c>
      <c r="S716" s="62">
        <v>303302.59999999998</v>
      </c>
      <c r="T716" s="63"/>
      <c r="U716" s="63">
        <v>839.70508100003406</v>
      </c>
      <c r="V716" s="63">
        <v>1357.2830200640001</v>
      </c>
      <c r="W716" s="59">
        <v>2024</v>
      </c>
      <c r="X716" s="6" t="e">
        <v>#REF!</v>
      </c>
      <c r="Z716" s="62">
        <f t="shared" si="187"/>
        <v>591869.62</v>
      </c>
      <c r="AA716" s="55">
        <v>0</v>
      </c>
      <c r="AB716" s="55">
        <v>0</v>
      </c>
      <c r="AC716" s="55">
        <v>515491.21301747998</v>
      </c>
      <c r="AD716" s="55">
        <v>0</v>
      </c>
      <c r="AE716" s="55">
        <v>0</v>
      </c>
      <c r="AF716" s="55"/>
      <c r="AG716" s="55">
        <v>0</v>
      </c>
      <c r="AH716" s="55">
        <v>0</v>
      </c>
      <c r="AI716" s="55">
        <v>0</v>
      </c>
      <c r="AJ716" s="55">
        <v>0</v>
      </c>
      <c r="AK716" s="55">
        <v>0</v>
      </c>
      <c r="AL716" s="55">
        <v>0</v>
      </c>
      <c r="AM716" s="55">
        <v>59186.962</v>
      </c>
      <c r="AN716" s="63">
        <v>5918.6962000000003</v>
      </c>
      <c r="AO716" s="64">
        <v>11272.748782520001</v>
      </c>
      <c r="AP716" s="61">
        <f>+N716-'Приложение №2'!E716</f>
        <v>-4.1884114034473896E-4</v>
      </c>
      <c r="AQ716" s="1">
        <f>319451.74-167645.41</f>
        <v>151806.32999999999</v>
      </c>
      <c r="AR716" s="3">
        <f>+(K716*10.5+L716*21)*12*0.85</f>
        <v>66532.661999999997</v>
      </c>
      <c r="AS716" s="3">
        <f>+(K716*10.5+L716*21)*12*30-1267907.77</f>
        <v>1080303.83</v>
      </c>
      <c r="AT716" s="6">
        <f t="shared" si="188"/>
        <v>-777001.2300000001</v>
      </c>
      <c r="AU716" s="6" t="e">
        <v>#REF!</v>
      </c>
      <c r="AV716" s="6" t="e">
        <v>#REF!</v>
      </c>
      <c r="AW716" s="110">
        <f t="shared" si="182"/>
        <v>521641.59041884117</v>
      </c>
      <c r="AX716" s="55">
        <v>0</v>
      </c>
      <c r="AY716" s="55">
        <v>0</v>
      </c>
      <c r="AZ716" s="55">
        <v>510478.46038387797</v>
      </c>
      <c r="BA716" s="55">
        <v>0</v>
      </c>
      <c r="BB716" s="55">
        <v>0</v>
      </c>
      <c r="BC716" s="55"/>
      <c r="BD716" s="55"/>
      <c r="BE716" s="55">
        <v>0</v>
      </c>
      <c r="BF716" s="55">
        <v>0</v>
      </c>
      <c r="BG716" s="55">
        <v>0</v>
      </c>
      <c r="BH716" s="55">
        <v>0</v>
      </c>
      <c r="BI716" s="55">
        <v>0</v>
      </c>
      <c r="BJ716" s="55"/>
      <c r="BK716" s="63"/>
      <c r="BL716" s="64">
        <v>11163.1300349632</v>
      </c>
      <c r="BM716" s="110">
        <f t="shared" si="183"/>
        <v>521641.59041884117</v>
      </c>
      <c r="BN716" s="55">
        <v>0</v>
      </c>
      <c r="BO716" s="55">
        <v>0</v>
      </c>
      <c r="BP716" s="55">
        <v>510478.46038387797</v>
      </c>
      <c r="BQ716" s="55">
        <v>0</v>
      </c>
      <c r="BR716" s="55">
        <v>0</v>
      </c>
      <c r="BS716" s="55"/>
      <c r="BT716" s="55"/>
      <c r="BU716" s="55">
        <v>0</v>
      </c>
      <c r="BV716" s="55">
        <v>0</v>
      </c>
      <c r="BW716" s="55">
        <v>0</v>
      </c>
      <c r="BX716" s="55">
        <v>0</v>
      </c>
      <c r="BY716" s="55">
        <v>0</v>
      </c>
      <c r="BZ716" s="55"/>
      <c r="CA716" s="63"/>
      <c r="CB716" s="64">
        <v>11163.1300349632</v>
      </c>
      <c r="CD716" s="75"/>
      <c r="CE716" s="6"/>
    </row>
    <row r="717" spans="1:83" x14ac:dyDescent="0.25">
      <c r="A717" s="105">
        <f t="shared" si="184"/>
        <v>695</v>
      </c>
      <c r="B717" s="106">
        <f t="shared" si="180"/>
        <v>235</v>
      </c>
      <c r="C717" s="107" t="s">
        <v>397</v>
      </c>
      <c r="D717" s="107" t="s">
        <v>662</v>
      </c>
      <c r="E717" s="128">
        <v>1980</v>
      </c>
      <c r="F717" s="128">
        <v>2000</v>
      </c>
      <c r="G717" s="128" t="s">
        <v>64</v>
      </c>
      <c r="H717" s="128">
        <v>4</v>
      </c>
      <c r="I717" s="128">
        <v>2</v>
      </c>
      <c r="J717" s="63">
        <v>1287.7</v>
      </c>
      <c r="K717" s="63">
        <v>1277.9000000000001</v>
      </c>
      <c r="L717" s="63">
        <v>0</v>
      </c>
      <c r="M717" s="129">
        <v>40</v>
      </c>
      <c r="N717" s="108">
        <v>4035248.71</v>
      </c>
      <c r="O717" s="63"/>
      <c r="P717" s="63"/>
      <c r="Q717" s="63"/>
      <c r="R717" s="62">
        <v>715787.88</v>
      </c>
      <c r="S717" s="62">
        <v>3319460.83</v>
      </c>
      <c r="T717" s="63">
        <v>0</v>
      </c>
      <c r="U717" s="63">
        <v>3157.7186882372698</v>
      </c>
      <c r="V717" s="63">
        <v>3157.7186882372698</v>
      </c>
      <c r="W717" s="59">
        <v>2024</v>
      </c>
      <c r="X717" s="6" t="e">
        <v>#REF!</v>
      </c>
      <c r="Z717" s="62">
        <f t="shared" si="187"/>
        <v>9299405.0449422784</v>
      </c>
      <c r="AA717" s="55">
        <v>3595441.72997401</v>
      </c>
      <c r="AB717" s="55">
        <v>1661086.1448613501</v>
      </c>
      <c r="AC717" s="55">
        <v>1682740.68749368</v>
      </c>
      <c r="AD717" s="55">
        <v>1087023.0029267501</v>
      </c>
      <c r="AE717" s="55">
        <v>0</v>
      </c>
      <c r="AF717" s="55"/>
      <c r="AG717" s="55">
        <v>125708.395066618</v>
      </c>
      <c r="AH717" s="55">
        <v>0</v>
      </c>
      <c r="AI717" s="55">
        <v>0</v>
      </c>
      <c r="AJ717" s="55">
        <v>0</v>
      </c>
      <c r="AK717" s="55">
        <v>0</v>
      </c>
      <c r="AL717" s="55">
        <v>0</v>
      </c>
      <c r="AM717" s="55">
        <v>876143.30562875397</v>
      </c>
      <c r="AN717" s="63">
        <v>92994.050449422706</v>
      </c>
      <c r="AO717" s="64">
        <v>178267.72854169199</v>
      </c>
      <c r="AP717" s="61">
        <f>+N717-'Приложение №2'!E717</f>
        <v>-1.698407344520092E-3</v>
      </c>
      <c r="AQ717" s="1">
        <v>585442.07999999996</v>
      </c>
      <c r="AR717" s="3">
        <f t="shared" ref="AR717:AR734" si="190">+(K717*10+L717*20)*12*0.85</f>
        <v>130345.8</v>
      </c>
      <c r="AS717" s="3">
        <f t="shared" ref="AS717:AS734" si="191">+(K717*10+L717*20)*12*30</f>
        <v>4600440</v>
      </c>
      <c r="AT717" s="6">
        <f t="shared" si="188"/>
        <v>-1280979.17</v>
      </c>
      <c r="AU717" s="6" t="e">
        <v>#REF!</v>
      </c>
      <c r="AV717" s="6" t="e">
        <v>#REF!</v>
      </c>
      <c r="AW717" s="62">
        <f t="shared" si="182"/>
        <v>4035248.7116984073</v>
      </c>
      <c r="AX717" s="55">
        <v>3828166.3</v>
      </c>
      <c r="AY717" s="55"/>
      <c r="AZ717" s="55"/>
      <c r="BA717" s="55"/>
      <c r="BB717" s="55">
        <v>0</v>
      </c>
      <c r="BC717" s="55"/>
      <c r="BD717" s="55">
        <v>125708.395066618</v>
      </c>
      <c r="BE717" s="55">
        <v>0</v>
      </c>
      <c r="BF717" s="55">
        <v>0</v>
      </c>
      <c r="BG717" s="55">
        <v>0</v>
      </c>
      <c r="BH717" s="55">
        <v>0</v>
      </c>
      <c r="BI717" s="55">
        <v>0</v>
      </c>
      <c r="BJ717" s="55"/>
      <c r="BK717" s="63"/>
      <c r="BL717" s="64">
        <v>81374.016631789695</v>
      </c>
      <c r="BM717" s="62">
        <f t="shared" si="183"/>
        <v>4035248.7116984073</v>
      </c>
      <c r="BN717" s="55">
        <v>3828166.3</v>
      </c>
      <c r="BO717" s="55"/>
      <c r="BP717" s="55"/>
      <c r="BQ717" s="55"/>
      <c r="BR717" s="55">
        <v>0</v>
      </c>
      <c r="BS717" s="55"/>
      <c r="BT717" s="55">
        <v>125708.395066618</v>
      </c>
      <c r="BU717" s="55">
        <v>0</v>
      </c>
      <c r="BV717" s="55">
        <v>0</v>
      </c>
      <c r="BW717" s="55">
        <v>0</v>
      </c>
      <c r="BX717" s="55">
        <v>0</v>
      </c>
      <c r="BY717" s="55">
        <v>0</v>
      </c>
      <c r="BZ717" s="55"/>
      <c r="CA717" s="63"/>
      <c r="CB717" s="64">
        <v>81374.016631789695</v>
      </c>
      <c r="CD717" s="75"/>
      <c r="CE717" s="6"/>
    </row>
    <row r="718" spans="1:83" x14ac:dyDescent="0.25">
      <c r="A718" s="105">
        <f t="shared" si="184"/>
        <v>696</v>
      </c>
      <c r="B718" s="106">
        <f t="shared" si="180"/>
        <v>236</v>
      </c>
      <c r="C718" s="53" t="s">
        <v>397</v>
      </c>
      <c r="D718" s="53" t="s">
        <v>663</v>
      </c>
      <c r="E718" s="54">
        <v>1982</v>
      </c>
      <c r="F718" s="54"/>
      <c r="G718" s="54" t="s">
        <v>64</v>
      </c>
      <c r="H718" s="54">
        <v>5</v>
      </c>
      <c r="I718" s="54">
        <v>4</v>
      </c>
      <c r="J718" s="55">
        <v>3359.7</v>
      </c>
      <c r="K718" s="55">
        <v>2436.8000000000002</v>
      </c>
      <c r="L718" s="55">
        <v>338.7</v>
      </c>
      <c r="M718" s="56">
        <v>80</v>
      </c>
      <c r="N718" s="112">
        <v>520542.46</v>
      </c>
      <c r="O718" s="55"/>
      <c r="P718" s="63"/>
      <c r="Q718" s="63"/>
      <c r="R718" s="62">
        <v>520542.46</v>
      </c>
      <c r="S718" s="63"/>
      <c r="T718" s="113"/>
      <c r="U718" s="55">
        <v>187.549075842191</v>
      </c>
      <c r="V718" s="55">
        <v>187.549075842191</v>
      </c>
      <c r="W718" s="59">
        <v>2024</v>
      </c>
      <c r="X718" s="6"/>
      <c r="Z718" s="62"/>
      <c r="AA718" s="55"/>
      <c r="AB718" s="55"/>
      <c r="AC718" s="55"/>
      <c r="AD718" s="55"/>
      <c r="AE718" s="55"/>
      <c r="AF718" s="55"/>
      <c r="AG718" s="55"/>
      <c r="AH718" s="55"/>
      <c r="AI718" s="55"/>
      <c r="AJ718" s="55"/>
      <c r="AK718" s="55"/>
      <c r="AL718" s="55"/>
      <c r="AM718" s="55"/>
      <c r="AN718" s="63"/>
      <c r="AO718" s="64"/>
      <c r="AP718" s="61">
        <f>+N718-'Приложение №2'!E718</f>
        <v>0</v>
      </c>
      <c r="AQ718" s="73">
        <v>1709418.27</v>
      </c>
      <c r="AR718" s="3">
        <f t="shared" si="190"/>
        <v>317648.39999999997</v>
      </c>
      <c r="AS718" s="3">
        <f t="shared" si="191"/>
        <v>11211120</v>
      </c>
      <c r="AT718" s="6">
        <f t="shared" si="188"/>
        <v>-11211120</v>
      </c>
      <c r="AW718" s="62">
        <f t="shared" si="182"/>
        <v>520542.46</v>
      </c>
      <c r="AX718" s="55"/>
      <c r="AY718" s="55"/>
      <c r="AZ718" s="55"/>
      <c r="BA718" s="55">
        <v>520542.46</v>
      </c>
      <c r="BB718" s="55"/>
      <c r="BC718" s="55"/>
      <c r="BD718" s="55"/>
      <c r="BE718" s="55"/>
      <c r="BF718" s="55"/>
      <c r="BG718" s="55"/>
      <c r="BH718" s="55"/>
      <c r="BI718" s="55"/>
      <c r="BJ718" s="55"/>
      <c r="BK718" s="63"/>
      <c r="BL718" s="111"/>
      <c r="BM718" s="62">
        <f t="shared" si="183"/>
        <v>520542.46</v>
      </c>
      <c r="BN718" s="55"/>
      <c r="BO718" s="55"/>
      <c r="BP718" s="55"/>
      <c r="BQ718" s="55">
        <v>520542.46</v>
      </c>
      <c r="BR718" s="55"/>
      <c r="BS718" s="55"/>
      <c r="BT718" s="55"/>
      <c r="BU718" s="55"/>
      <c r="BV718" s="55"/>
      <c r="BW718" s="55"/>
      <c r="BX718" s="55"/>
      <c r="BY718" s="55"/>
      <c r="BZ718" s="55"/>
      <c r="CA718" s="63"/>
      <c r="CB718" s="64"/>
      <c r="CD718" s="75"/>
      <c r="CE718" s="6"/>
    </row>
    <row r="719" spans="1:83" x14ac:dyDescent="0.25">
      <c r="A719" s="105">
        <f t="shared" si="184"/>
        <v>697</v>
      </c>
      <c r="B719" s="106">
        <f t="shared" si="180"/>
        <v>237</v>
      </c>
      <c r="C719" s="107" t="s">
        <v>397</v>
      </c>
      <c r="D719" s="107" t="s">
        <v>664</v>
      </c>
      <c r="E719" s="128">
        <v>1970</v>
      </c>
      <c r="F719" s="128">
        <v>2013</v>
      </c>
      <c r="G719" s="128" t="s">
        <v>64</v>
      </c>
      <c r="H719" s="128">
        <v>4</v>
      </c>
      <c r="I719" s="128">
        <v>2</v>
      </c>
      <c r="J719" s="63">
        <v>1446.8</v>
      </c>
      <c r="K719" s="63">
        <v>1340.5</v>
      </c>
      <c r="L719" s="63">
        <v>0</v>
      </c>
      <c r="M719" s="129">
        <v>57</v>
      </c>
      <c r="N719" s="108">
        <v>1947788.44</v>
      </c>
      <c r="O719" s="63"/>
      <c r="P719" s="63"/>
      <c r="Q719" s="63"/>
      <c r="R719" s="62">
        <v>781595.57</v>
      </c>
      <c r="S719" s="62">
        <v>1166192.8700000001</v>
      </c>
      <c r="T719" s="63"/>
      <c r="U719" s="63">
        <v>1453.0312849218701</v>
      </c>
      <c r="V719" s="63">
        <v>1453.0312849218701</v>
      </c>
      <c r="W719" s="59">
        <v>2024</v>
      </c>
      <c r="X719" s="6" t="e">
        <v>#REF!</v>
      </c>
      <c r="Z719" s="62">
        <f t="shared" ref="Z719:Z729" si="192">SUM(AA719:AO719)</f>
        <v>1958621.6233209567</v>
      </c>
      <c r="AA719" s="55">
        <v>0</v>
      </c>
      <c r="AB719" s="55">
        <v>0</v>
      </c>
      <c r="AC719" s="55">
        <v>1705869.33731788</v>
      </c>
      <c r="AD719" s="55">
        <v>0</v>
      </c>
      <c r="AE719" s="55">
        <v>0</v>
      </c>
      <c r="AF719" s="55"/>
      <c r="AG719" s="55">
        <v>0</v>
      </c>
      <c r="AH719" s="55">
        <v>0</v>
      </c>
      <c r="AI719" s="55">
        <v>0</v>
      </c>
      <c r="AJ719" s="55">
        <v>0</v>
      </c>
      <c r="AK719" s="55">
        <v>0</v>
      </c>
      <c r="AL719" s="55">
        <v>0</v>
      </c>
      <c r="AM719" s="55">
        <v>195862.16233209599</v>
      </c>
      <c r="AN719" s="63">
        <v>19586.216233209601</v>
      </c>
      <c r="AO719" s="64">
        <v>37303.907437770999</v>
      </c>
      <c r="AP719" s="61">
        <f>+N719-'Приложение №2'!E719</f>
        <v>2.5622288230806589E-3</v>
      </c>
      <c r="AQ719" s="1">
        <v>644864.56999999995</v>
      </c>
      <c r="AR719" s="3">
        <f t="shared" si="190"/>
        <v>136731</v>
      </c>
      <c r="AS719" s="3">
        <f t="shared" si="191"/>
        <v>4825800</v>
      </c>
      <c r="AT719" s="6">
        <f t="shared" si="188"/>
        <v>-3659607.13</v>
      </c>
      <c r="AU719" s="6" t="e">
        <v>#REF!</v>
      </c>
      <c r="AV719" s="6" t="e">
        <v>#REF!</v>
      </c>
      <c r="AW719" s="62">
        <f t="shared" si="182"/>
        <v>1947788.4374377711</v>
      </c>
      <c r="AX719" s="55"/>
      <c r="AY719" s="55"/>
      <c r="AZ719" s="55">
        <v>1910484.53</v>
      </c>
      <c r="BA719" s="55">
        <v>0</v>
      </c>
      <c r="BB719" s="55">
        <v>0</v>
      </c>
      <c r="BC719" s="55"/>
      <c r="BD719" s="55"/>
      <c r="BE719" s="55">
        <v>0</v>
      </c>
      <c r="BF719" s="55">
        <v>0</v>
      </c>
      <c r="BG719" s="55">
        <v>0</v>
      </c>
      <c r="BH719" s="55">
        <v>0</v>
      </c>
      <c r="BI719" s="55">
        <v>0</v>
      </c>
      <c r="BJ719" s="55"/>
      <c r="BK719" s="63"/>
      <c r="BL719" s="64">
        <v>37303.907437770999</v>
      </c>
      <c r="BM719" s="62">
        <f t="shared" si="183"/>
        <v>1947788.4374377711</v>
      </c>
      <c r="BN719" s="55"/>
      <c r="BO719" s="55"/>
      <c r="BP719" s="55">
        <v>1910484.53</v>
      </c>
      <c r="BQ719" s="55">
        <v>0</v>
      </c>
      <c r="BR719" s="55">
        <v>0</v>
      </c>
      <c r="BS719" s="55"/>
      <c r="BT719" s="55"/>
      <c r="BU719" s="55">
        <v>0</v>
      </c>
      <c r="BV719" s="55">
        <v>0</v>
      </c>
      <c r="BW719" s="55">
        <v>0</v>
      </c>
      <c r="BX719" s="55">
        <v>0</v>
      </c>
      <c r="BY719" s="55">
        <v>0</v>
      </c>
      <c r="BZ719" s="55"/>
      <c r="CA719" s="63"/>
      <c r="CB719" s="64">
        <v>37303.907437770999</v>
      </c>
      <c r="CD719" s="75"/>
      <c r="CE719" s="6"/>
    </row>
    <row r="720" spans="1:83" x14ac:dyDescent="0.25">
      <c r="A720" s="105">
        <f t="shared" si="184"/>
        <v>698</v>
      </c>
      <c r="B720" s="106">
        <f t="shared" si="180"/>
        <v>238</v>
      </c>
      <c r="C720" s="107" t="s">
        <v>397</v>
      </c>
      <c r="D720" s="107" t="s">
        <v>665</v>
      </c>
      <c r="E720" s="128">
        <v>1965</v>
      </c>
      <c r="F720" s="128">
        <v>2006</v>
      </c>
      <c r="G720" s="128" t="s">
        <v>64</v>
      </c>
      <c r="H720" s="128">
        <v>3</v>
      </c>
      <c r="I720" s="128">
        <v>2</v>
      </c>
      <c r="J720" s="63">
        <v>1057</v>
      </c>
      <c r="K720" s="63">
        <v>910.1</v>
      </c>
      <c r="L720" s="63">
        <v>0</v>
      </c>
      <c r="M720" s="129">
        <v>42</v>
      </c>
      <c r="N720" s="108">
        <v>1365207.5</v>
      </c>
      <c r="O720" s="63"/>
      <c r="P720" s="63"/>
      <c r="Q720" s="63"/>
      <c r="R720" s="62">
        <v>507657.83</v>
      </c>
      <c r="S720" s="62">
        <v>857549.67</v>
      </c>
      <c r="T720" s="63"/>
      <c r="U720" s="63">
        <v>1500.06317892166</v>
      </c>
      <c r="V720" s="63">
        <v>1500.06317892166</v>
      </c>
      <c r="W720" s="59">
        <v>2024</v>
      </c>
      <c r="X720" s="6" t="e">
        <v>#REF!</v>
      </c>
      <c r="Z720" s="62">
        <f t="shared" si="192"/>
        <v>8816238.8611652218</v>
      </c>
      <c r="AA720" s="55">
        <v>4211114.5920837298</v>
      </c>
      <c r="AB720" s="55">
        <v>2542939.3447388699</v>
      </c>
      <c r="AC720" s="55">
        <v>1017036.53332148</v>
      </c>
      <c r="AD720" s="55">
        <v>0</v>
      </c>
      <c r="AE720" s="55">
        <v>0</v>
      </c>
      <c r="AF720" s="55"/>
      <c r="AG720" s="55">
        <v>0</v>
      </c>
      <c r="AH720" s="55">
        <v>0</v>
      </c>
      <c r="AI720" s="55">
        <v>0</v>
      </c>
      <c r="AJ720" s="55">
        <v>0</v>
      </c>
      <c r="AK720" s="55">
        <v>0</v>
      </c>
      <c r="AL720" s="55">
        <v>0</v>
      </c>
      <c r="AM720" s="55">
        <v>787047.99294588505</v>
      </c>
      <c r="AN720" s="63">
        <v>88162.388611652204</v>
      </c>
      <c r="AO720" s="64">
        <v>169938.00946360399</v>
      </c>
      <c r="AP720" s="61">
        <f>+N720-'Приложение №2'!E720</f>
        <v>8.633970282971859E-4</v>
      </c>
      <c r="AQ720" s="1">
        <v>414827.63</v>
      </c>
      <c r="AR720" s="3">
        <f t="shared" si="190"/>
        <v>92830.2</v>
      </c>
      <c r="AS720" s="3">
        <f t="shared" si="191"/>
        <v>3276360</v>
      </c>
      <c r="AT720" s="6">
        <f t="shared" si="188"/>
        <v>-2418810.33</v>
      </c>
      <c r="AU720" s="6" t="e">
        <v>#REF!</v>
      </c>
      <c r="AV720" s="6" t="e">
        <v>#REF!</v>
      </c>
      <c r="AW720" s="62">
        <f t="shared" si="182"/>
        <v>1365207.499136603</v>
      </c>
      <c r="AX720" s="55"/>
      <c r="AY720" s="55"/>
      <c r="AZ720" s="55">
        <v>1342966.97</v>
      </c>
      <c r="BA720" s="55">
        <v>0</v>
      </c>
      <c r="BB720" s="55">
        <v>0</v>
      </c>
      <c r="BC720" s="55"/>
      <c r="BD720" s="55"/>
      <c r="BE720" s="55">
        <v>0</v>
      </c>
      <c r="BF720" s="55">
        <v>0</v>
      </c>
      <c r="BG720" s="55">
        <v>0</v>
      </c>
      <c r="BH720" s="55">
        <v>0</v>
      </c>
      <c r="BI720" s="55">
        <v>0</v>
      </c>
      <c r="BJ720" s="55"/>
      <c r="BK720" s="63"/>
      <c r="BL720" s="64">
        <v>22240.529136603102</v>
      </c>
      <c r="BM720" s="62">
        <f t="shared" si="183"/>
        <v>1365207.499136603</v>
      </c>
      <c r="BN720" s="55"/>
      <c r="BO720" s="55"/>
      <c r="BP720" s="55">
        <v>1342966.97</v>
      </c>
      <c r="BQ720" s="55">
        <v>0</v>
      </c>
      <c r="BR720" s="55">
        <v>0</v>
      </c>
      <c r="BS720" s="55"/>
      <c r="BT720" s="55"/>
      <c r="BU720" s="55">
        <v>0</v>
      </c>
      <c r="BV720" s="55">
        <v>0</v>
      </c>
      <c r="BW720" s="55">
        <v>0</v>
      </c>
      <c r="BX720" s="55">
        <v>0</v>
      </c>
      <c r="BY720" s="55">
        <v>0</v>
      </c>
      <c r="BZ720" s="55"/>
      <c r="CA720" s="63"/>
      <c r="CB720" s="64">
        <v>22240.529136603102</v>
      </c>
      <c r="CD720" s="75"/>
      <c r="CE720" s="6"/>
    </row>
    <row r="721" spans="1:83" x14ac:dyDescent="0.25">
      <c r="A721" s="105">
        <f t="shared" si="184"/>
        <v>699</v>
      </c>
      <c r="B721" s="106">
        <f t="shared" si="180"/>
        <v>239</v>
      </c>
      <c r="C721" s="53" t="s">
        <v>397</v>
      </c>
      <c r="D721" s="53" t="s">
        <v>666</v>
      </c>
      <c r="E721" s="54">
        <v>1993</v>
      </c>
      <c r="F721" s="54">
        <v>2013</v>
      </c>
      <c r="G721" s="54" t="s">
        <v>64</v>
      </c>
      <c r="H721" s="54">
        <v>5</v>
      </c>
      <c r="I721" s="54">
        <v>4</v>
      </c>
      <c r="J721" s="55">
        <v>3395.5</v>
      </c>
      <c r="K721" s="55">
        <v>2227.23</v>
      </c>
      <c r="L721" s="55">
        <v>0</v>
      </c>
      <c r="M721" s="56">
        <v>37</v>
      </c>
      <c r="N721" s="112">
        <v>4850544.6900000004</v>
      </c>
      <c r="O721" s="55"/>
      <c r="P721" s="63"/>
      <c r="Q721" s="63"/>
      <c r="R721" s="62">
        <v>1000336.41</v>
      </c>
      <c r="S721" s="62">
        <v>3850208.28</v>
      </c>
      <c r="T721" s="113"/>
      <c r="U721" s="55">
        <v>2851.0892429610399</v>
      </c>
      <c r="V721" s="55">
        <v>2851.0892429610399</v>
      </c>
      <c r="W721" s="59">
        <v>2024</v>
      </c>
      <c r="X721" s="6" t="e">
        <v>#REF!</v>
      </c>
      <c r="Z721" s="62">
        <f t="shared" si="192"/>
        <v>6360267.7595478594</v>
      </c>
      <c r="AA721" s="55">
        <v>0</v>
      </c>
      <c r="AB721" s="55">
        <v>0</v>
      </c>
      <c r="AC721" s="55">
        <v>3320012.5520375199</v>
      </c>
      <c r="AD721" s="55">
        <v>2144673.8887888598</v>
      </c>
      <c r="AE721" s="55">
        <v>0</v>
      </c>
      <c r="AF721" s="55"/>
      <c r="AG721" s="55">
        <v>0</v>
      </c>
      <c r="AH721" s="55">
        <v>0</v>
      </c>
      <c r="AI721" s="55">
        <v>0</v>
      </c>
      <c r="AJ721" s="55">
        <v>0</v>
      </c>
      <c r="AK721" s="55">
        <v>0</v>
      </c>
      <c r="AL721" s="55">
        <v>0</v>
      </c>
      <c r="AM721" s="55">
        <v>712477.01652587403</v>
      </c>
      <c r="AN721" s="63">
        <v>63602.677595478497</v>
      </c>
      <c r="AO721" s="64">
        <v>119501.624600127</v>
      </c>
      <c r="AP721" s="61">
        <f>+N721-'Приложение №2'!E721</f>
        <v>-4.6001272276043892E-3</v>
      </c>
      <c r="AQ721" s="1">
        <v>773158.95</v>
      </c>
      <c r="AR721" s="3">
        <f t="shared" si="190"/>
        <v>227177.45999999996</v>
      </c>
      <c r="AS721" s="3">
        <f t="shared" si="191"/>
        <v>8018027.9999999991</v>
      </c>
      <c r="AT721" s="6">
        <f t="shared" si="188"/>
        <v>-4167819.7199999993</v>
      </c>
      <c r="AU721" s="6" t="e">
        <v>#REF!</v>
      </c>
      <c r="AV721" s="6" t="e">
        <v>#REF!</v>
      </c>
      <c r="AW721" s="62">
        <f t="shared" si="182"/>
        <v>6350031.4946001265</v>
      </c>
      <c r="AX721" s="55">
        <v>0</v>
      </c>
      <c r="AY721" s="55">
        <v>0</v>
      </c>
      <c r="AZ721" s="55">
        <v>3751583.61</v>
      </c>
      <c r="BA721" s="55">
        <v>2478946.2599999998</v>
      </c>
      <c r="BB721" s="55">
        <v>0</v>
      </c>
      <c r="BC721" s="55"/>
      <c r="BD721" s="55"/>
      <c r="BE721" s="55">
        <v>0</v>
      </c>
      <c r="BF721" s="55">
        <v>0</v>
      </c>
      <c r="BG721" s="55">
        <v>0</v>
      </c>
      <c r="BH721" s="55">
        <v>0</v>
      </c>
      <c r="BI721" s="55">
        <v>0</v>
      </c>
      <c r="BJ721" s="55"/>
      <c r="BK721" s="63"/>
      <c r="BL721" s="111">
        <v>119501.624600127</v>
      </c>
      <c r="BM721" s="62">
        <f t="shared" si="183"/>
        <v>6350031.4946001265</v>
      </c>
      <c r="BN721" s="55">
        <v>0</v>
      </c>
      <c r="BO721" s="55">
        <v>0</v>
      </c>
      <c r="BP721" s="55">
        <v>3751583.61</v>
      </c>
      <c r="BQ721" s="55">
        <v>2478946.2599999998</v>
      </c>
      <c r="BR721" s="55">
        <v>0</v>
      </c>
      <c r="BS721" s="55"/>
      <c r="BT721" s="55"/>
      <c r="BU721" s="55">
        <v>0</v>
      </c>
      <c r="BV721" s="55">
        <v>0</v>
      </c>
      <c r="BW721" s="55">
        <v>0</v>
      </c>
      <c r="BX721" s="55">
        <v>0</v>
      </c>
      <c r="BY721" s="55">
        <v>0</v>
      </c>
      <c r="BZ721" s="55"/>
      <c r="CA721" s="63"/>
      <c r="CB721" s="64">
        <v>119501.624600127</v>
      </c>
      <c r="CD721" s="75"/>
      <c r="CE721" s="6"/>
    </row>
    <row r="722" spans="1:83" x14ac:dyDescent="0.25">
      <c r="A722" s="105">
        <f t="shared" si="184"/>
        <v>700</v>
      </c>
      <c r="B722" s="106">
        <f t="shared" si="180"/>
        <v>240</v>
      </c>
      <c r="C722" s="53" t="s">
        <v>397</v>
      </c>
      <c r="D722" s="53" t="s">
        <v>667</v>
      </c>
      <c r="E722" s="54">
        <v>1971</v>
      </c>
      <c r="F722" s="54">
        <v>2013</v>
      </c>
      <c r="G722" s="54" t="s">
        <v>64</v>
      </c>
      <c r="H722" s="54">
        <v>3</v>
      </c>
      <c r="I722" s="54">
        <v>1</v>
      </c>
      <c r="J722" s="55">
        <v>536</v>
      </c>
      <c r="K722" s="55">
        <v>489.9</v>
      </c>
      <c r="L722" s="55">
        <v>0</v>
      </c>
      <c r="M722" s="56">
        <v>16</v>
      </c>
      <c r="N722" s="112">
        <v>899363.71</v>
      </c>
      <c r="O722" s="55"/>
      <c r="P722" s="62">
        <v>589286.68000000005</v>
      </c>
      <c r="Q722" s="63"/>
      <c r="R722" s="62">
        <v>37182.6</v>
      </c>
      <c r="S722" s="62">
        <v>95131.97</v>
      </c>
      <c r="T722" s="108">
        <v>177762.46</v>
      </c>
      <c r="U722" s="55">
        <v>1472.9562124405099</v>
      </c>
      <c r="V722" s="55">
        <v>1472.9562124405099</v>
      </c>
      <c r="W722" s="59">
        <v>2024</v>
      </c>
      <c r="X722" s="6" t="e">
        <v>#REF!</v>
      </c>
      <c r="Z722" s="62">
        <f t="shared" si="192"/>
        <v>628529.26990464027</v>
      </c>
      <c r="AA722" s="55">
        <v>0</v>
      </c>
      <c r="AB722" s="55">
        <v>0</v>
      </c>
      <c r="AC722" s="55">
        <v>547420.08174052602</v>
      </c>
      <c r="AD722" s="55">
        <v>0</v>
      </c>
      <c r="AE722" s="55">
        <v>0</v>
      </c>
      <c r="AF722" s="55"/>
      <c r="AG722" s="55">
        <v>0</v>
      </c>
      <c r="AH722" s="55">
        <v>0</v>
      </c>
      <c r="AI722" s="55">
        <v>0</v>
      </c>
      <c r="AJ722" s="55">
        <v>0</v>
      </c>
      <c r="AK722" s="55">
        <v>0</v>
      </c>
      <c r="AL722" s="55">
        <v>0</v>
      </c>
      <c r="AM722" s="55">
        <v>62852.926990464002</v>
      </c>
      <c r="AN722" s="63">
        <v>6285.2926990464002</v>
      </c>
      <c r="AO722" s="64">
        <v>11970.9684746038</v>
      </c>
      <c r="AP722" s="61">
        <f>+N722-'Приложение №2'!E722</f>
        <v>1.5253961319103837E-3</v>
      </c>
      <c r="AQ722" s="1">
        <v>126164.38</v>
      </c>
      <c r="AR722" s="3">
        <f t="shared" si="190"/>
        <v>49969.799999999996</v>
      </c>
      <c r="AS722" s="3">
        <f t="shared" si="191"/>
        <v>1763640</v>
      </c>
      <c r="AT722" s="6">
        <f t="shared" si="188"/>
        <v>-1668508.03</v>
      </c>
      <c r="AU722" s="6" t="e">
        <v>#REF!</v>
      </c>
      <c r="AV722" s="6" t="e">
        <v>#REF!</v>
      </c>
      <c r="AW722" s="62">
        <f t="shared" si="182"/>
        <v>721601.24847460387</v>
      </c>
      <c r="AX722" s="55">
        <v>0</v>
      </c>
      <c r="AY722" s="55">
        <v>0</v>
      </c>
      <c r="AZ722" s="55">
        <v>709630.28</v>
      </c>
      <c r="BA722" s="55">
        <v>0</v>
      </c>
      <c r="BB722" s="55">
        <v>0</v>
      </c>
      <c r="BC722" s="55"/>
      <c r="BD722" s="55"/>
      <c r="BE722" s="55">
        <v>0</v>
      </c>
      <c r="BF722" s="55">
        <v>0</v>
      </c>
      <c r="BG722" s="55">
        <v>0</v>
      </c>
      <c r="BH722" s="55">
        <v>0</v>
      </c>
      <c r="BI722" s="55">
        <v>0</v>
      </c>
      <c r="BJ722" s="55"/>
      <c r="BK722" s="63"/>
      <c r="BL722" s="111">
        <v>11970.9684746038</v>
      </c>
      <c r="BM722" s="62">
        <f t="shared" si="183"/>
        <v>721601.24847460387</v>
      </c>
      <c r="BN722" s="55">
        <v>0</v>
      </c>
      <c r="BO722" s="55">
        <v>0</v>
      </c>
      <c r="BP722" s="55">
        <v>709630.28</v>
      </c>
      <c r="BQ722" s="55">
        <v>0</v>
      </c>
      <c r="BR722" s="55">
        <v>0</v>
      </c>
      <c r="BS722" s="55"/>
      <c r="BT722" s="55"/>
      <c r="BU722" s="55">
        <v>0</v>
      </c>
      <c r="BV722" s="55">
        <v>0</v>
      </c>
      <c r="BW722" s="55">
        <v>0</v>
      </c>
      <c r="BX722" s="55">
        <v>0</v>
      </c>
      <c r="BY722" s="55">
        <v>0</v>
      </c>
      <c r="BZ722" s="55"/>
      <c r="CA722" s="63"/>
      <c r="CB722" s="64">
        <v>11970.9684746038</v>
      </c>
      <c r="CD722" s="75"/>
      <c r="CE722" s="171"/>
    </row>
    <row r="723" spans="1:83" x14ac:dyDescent="0.25">
      <c r="A723" s="105">
        <f t="shared" si="184"/>
        <v>701</v>
      </c>
      <c r="B723" s="106">
        <f t="shared" si="180"/>
        <v>241</v>
      </c>
      <c r="C723" s="107" t="s">
        <v>397</v>
      </c>
      <c r="D723" s="107" t="s">
        <v>668</v>
      </c>
      <c r="E723" s="128">
        <v>1967</v>
      </c>
      <c r="F723" s="128">
        <v>2013</v>
      </c>
      <c r="G723" s="128" t="s">
        <v>64</v>
      </c>
      <c r="H723" s="128">
        <v>3</v>
      </c>
      <c r="I723" s="128">
        <v>2</v>
      </c>
      <c r="J723" s="63">
        <v>1043.9000000000001</v>
      </c>
      <c r="K723" s="63">
        <v>633.5</v>
      </c>
      <c r="L723" s="63">
        <v>326.8</v>
      </c>
      <c r="M723" s="129">
        <v>24</v>
      </c>
      <c r="N723" s="108">
        <v>1112898.02</v>
      </c>
      <c r="O723" s="63"/>
      <c r="P723" s="63"/>
      <c r="Q723" s="63"/>
      <c r="R723" s="62">
        <v>721179.51</v>
      </c>
      <c r="S723" s="62">
        <v>227393.49</v>
      </c>
      <c r="T723" s="62">
        <v>164325.01999999999</v>
      </c>
      <c r="U723" s="63">
        <v>987.78819247890601</v>
      </c>
      <c r="V723" s="63">
        <v>987.78819247890601</v>
      </c>
      <c r="W723" s="59">
        <v>2024</v>
      </c>
      <c r="X723" s="6" t="e">
        <v>#REF!</v>
      </c>
      <c r="Z723" s="62">
        <f t="shared" si="192"/>
        <v>823749.40866816044</v>
      </c>
      <c r="AA723" s="55">
        <v>0</v>
      </c>
      <c r="AB723" s="55">
        <v>0</v>
      </c>
      <c r="AC723" s="55">
        <v>717447.842477169</v>
      </c>
      <c r="AD723" s="55">
        <v>0</v>
      </c>
      <c r="AE723" s="55">
        <v>0</v>
      </c>
      <c r="AF723" s="55"/>
      <c r="AG723" s="55">
        <v>0</v>
      </c>
      <c r="AH723" s="55">
        <v>0</v>
      </c>
      <c r="AI723" s="55">
        <v>0</v>
      </c>
      <c r="AJ723" s="55">
        <v>0</v>
      </c>
      <c r="AK723" s="55">
        <v>0</v>
      </c>
      <c r="AL723" s="55">
        <v>0</v>
      </c>
      <c r="AM723" s="55">
        <v>82374.940866816003</v>
      </c>
      <c r="AN723" s="63">
        <v>8237.4940866815996</v>
      </c>
      <c r="AO723" s="64">
        <v>15689.131237493801</v>
      </c>
      <c r="AP723" s="61">
        <f>+N723-'Приложение №2'!E723</f>
        <v>-1.2374937068670988E-3</v>
      </c>
      <c r="AQ723" s="1">
        <v>589895.31000000006</v>
      </c>
      <c r="AR723" s="3">
        <f t="shared" si="190"/>
        <v>131284.19999999998</v>
      </c>
      <c r="AS723" s="3">
        <f t="shared" si="191"/>
        <v>4633560</v>
      </c>
      <c r="AT723" s="6">
        <f t="shared" si="188"/>
        <v>-4406166.51</v>
      </c>
      <c r="AU723" s="6" t="e">
        <v>#REF!</v>
      </c>
      <c r="AV723" s="6" t="e">
        <v>#REF!</v>
      </c>
      <c r="AW723" s="62">
        <f t="shared" si="182"/>
        <v>948573.00123749382</v>
      </c>
      <c r="AX723" s="55">
        <v>0</v>
      </c>
      <c r="AY723" s="55">
        <v>0</v>
      </c>
      <c r="AZ723" s="55">
        <v>932883.87</v>
      </c>
      <c r="BA723" s="55">
        <v>0</v>
      </c>
      <c r="BB723" s="55">
        <v>0</v>
      </c>
      <c r="BC723" s="55"/>
      <c r="BD723" s="55"/>
      <c r="BE723" s="55">
        <v>0</v>
      </c>
      <c r="BF723" s="55">
        <v>0</v>
      </c>
      <c r="BG723" s="55">
        <v>0</v>
      </c>
      <c r="BH723" s="55">
        <v>0</v>
      </c>
      <c r="BI723" s="55">
        <v>0</v>
      </c>
      <c r="BJ723" s="55"/>
      <c r="BK723" s="63"/>
      <c r="BL723" s="64">
        <v>15689.131237493801</v>
      </c>
      <c r="BM723" s="62">
        <f t="shared" si="183"/>
        <v>948573.00123749382</v>
      </c>
      <c r="BN723" s="55">
        <v>0</v>
      </c>
      <c r="BO723" s="55">
        <v>0</v>
      </c>
      <c r="BP723" s="55">
        <v>932883.87</v>
      </c>
      <c r="BQ723" s="55">
        <v>0</v>
      </c>
      <c r="BR723" s="55">
        <v>0</v>
      </c>
      <c r="BS723" s="55"/>
      <c r="BT723" s="55"/>
      <c r="BU723" s="55">
        <v>0</v>
      </c>
      <c r="BV723" s="55">
        <v>0</v>
      </c>
      <c r="BW723" s="55">
        <v>0</v>
      </c>
      <c r="BX723" s="55">
        <v>0</v>
      </c>
      <c r="BY723" s="55">
        <v>0</v>
      </c>
      <c r="BZ723" s="55"/>
      <c r="CA723" s="63"/>
      <c r="CB723" s="64">
        <v>15689.131237493801</v>
      </c>
      <c r="CD723" s="75"/>
      <c r="CE723" s="6"/>
    </row>
    <row r="724" spans="1:83" x14ac:dyDescent="0.25">
      <c r="A724" s="105">
        <f t="shared" si="184"/>
        <v>702</v>
      </c>
      <c r="B724" s="106">
        <f t="shared" si="180"/>
        <v>242</v>
      </c>
      <c r="C724" s="107" t="s">
        <v>397</v>
      </c>
      <c r="D724" s="107" t="s">
        <v>669</v>
      </c>
      <c r="E724" s="128">
        <v>1990</v>
      </c>
      <c r="F724" s="128">
        <v>2012</v>
      </c>
      <c r="G724" s="128" t="s">
        <v>64</v>
      </c>
      <c r="H724" s="128">
        <v>5</v>
      </c>
      <c r="I724" s="128">
        <v>4</v>
      </c>
      <c r="J724" s="63">
        <v>3306.7</v>
      </c>
      <c r="K724" s="63">
        <v>2787.1</v>
      </c>
      <c r="L724" s="63">
        <v>0</v>
      </c>
      <c r="M724" s="129">
        <v>110</v>
      </c>
      <c r="N724" s="108">
        <v>21093264.579999998</v>
      </c>
      <c r="O724" s="63"/>
      <c r="P724" s="62">
        <v>3326870.96</v>
      </c>
      <c r="Q724" s="63"/>
      <c r="R724" s="62">
        <v>1067245.3</v>
      </c>
      <c r="S724" s="62">
        <v>10033560</v>
      </c>
      <c r="T724" s="62">
        <v>6665588.3200000003</v>
      </c>
      <c r="U724" s="63">
        <v>7568.1764471154002</v>
      </c>
      <c r="V724" s="63">
        <v>7568.1764471154002</v>
      </c>
      <c r="W724" s="59">
        <v>2024</v>
      </c>
      <c r="X724" s="6" t="e">
        <v>#REF!</v>
      </c>
      <c r="Z724" s="62">
        <f t="shared" si="192"/>
        <v>20902928.1285225</v>
      </c>
      <c r="AA724" s="55">
        <v>0</v>
      </c>
      <c r="AB724" s="55">
        <v>0</v>
      </c>
      <c r="AC724" s="55">
        <v>0</v>
      </c>
      <c r="AD724" s="55">
        <v>0</v>
      </c>
      <c r="AE724" s="55">
        <v>0</v>
      </c>
      <c r="AF724" s="55"/>
      <c r="AG724" s="55">
        <v>0</v>
      </c>
      <c r="AH724" s="55">
        <v>0</v>
      </c>
      <c r="AI724" s="55">
        <v>18410044.919914901</v>
      </c>
      <c r="AJ724" s="55">
        <v>0</v>
      </c>
      <c r="AK724" s="55">
        <v>0</v>
      </c>
      <c r="AL724" s="55">
        <v>0</v>
      </c>
      <c r="AM724" s="55">
        <v>1881263.5315670299</v>
      </c>
      <c r="AN724" s="63">
        <v>209029.28128522501</v>
      </c>
      <c r="AO724" s="64">
        <v>402590.39575534302</v>
      </c>
      <c r="AP724" s="61">
        <f>+N724-'Приложение №2'!E724</f>
        <v>4.2446553707122803E-3</v>
      </c>
      <c r="AQ724" s="1">
        <v>782961.1</v>
      </c>
      <c r="AR724" s="3">
        <f t="shared" si="190"/>
        <v>284284.2</v>
      </c>
      <c r="AS724" s="3">
        <f t="shared" si="191"/>
        <v>10033560</v>
      </c>
      <c r="AT724" s="6">
        <f t="shared" si="188"/>
        <v>0</v>
      </c>
      <c r="AU724" s="6" t="e">
        <v>#REF!</v>
      </c>
      <c r="AV724" s="6" t="e">
        <v>#REF!</v>
      </c>
      <c r="AW724" s="62">
        <f t="shared" si="182"/>
        <v>21093264.575755343</v>
      </c>
      <c r="AX724" s="55">
        <v>0</v>
      </c>
      <c r="AY724" s="55">
        <v>0</v>
      </c>
      <c r="AZ724" s="55">
        <v>0</v>
      </c>
      <c r="BA724" s="55">
        <v>0</v>
      </c>
      <c r="BB724" s="55">
        <v>0</v>
      </c>
      <c r="BC724" s="55"/>
      <c r="BD724" s="55"/>
      <c r="BE724" s="55">
        <v>0</v>
      </c>
      <c r="BF724" s="55">
        <v>20690674.18</v>
      </c>
      <c r="BG724" s="55">
        <v>0</v>
      </c>
      <c r="BH724" s="55">
        <v>0</v>
      </c>
      <c r="BI724" s="55">
        <v>0</v>
      </c>
      <c r="BJ724" s="55"/>
      <c r="BK724" s="63"/>
      <c r="BL724" s="64">
        <v>402590.39575534302</v>
      </c>
      <c r="BM724" s="62">
        <f t="shared" si="183"/>
        <v>21093264.575755343</v>
      </c>
      <c r="BN724" s="55">
        <v>0</v>
      </c>
      <c r="BO724" s="55">
        <v>0</v>
      </c>
      <c r="BP724" s="55">
        <v>0</v>
      </c>
      <c r="BQ724" s="55">
        <v>0</v>
      </c>
      <c r="BR724" s="55">
        <v>0</v>
      </c>
      <c r="BS724" s="55"/>
      <c r="BT724" s="55"/>
      <c r="BU724" s="55">
        <v>0</v>
      </c>
      <c r="BV724" s="55">
        <v>20690674.18</v>
      </c>
      <c r="BW724" s="55">
        <v>0</v>
      </c>
      <c r="BX724" s="55">
        <v>0</v>
      </c>
      <c r="BY724" s="55">
        <v>0</v>
      </c>
      <c r="BZ724" s="55"/>
      <c r="CA724" s="63"/>
      <c r="CB724" s="64">
        <v>402590.39575534302</v>
      </c>
      <c r="CD724" s="75"/>
      <c r="CE724" s="6"/>
    </row>
    <row r="725" spans="1:83" x14ac:dyDescent="0.25">
      <c r="A725" s="105">
        <f t="shared" si="184"/>
        <v>703</v>
      </c>
      <c r="B725" s="106">
        <f t="shared" si="180"/>
        <v>243</v>
      </c>
      <c r="C725" s="107" t="s">
        <v>397</v>
      </c>
      <c r="D725" s="107" t="s">
        <v>670</v>
      </c>
      <c r="E725" s="128">
        <v>1970</v>
      </c>
      <c r="F725" s="128">
        <v>2013</v>
      </c>
      <c r="G725" s="128" t="s">
        <v>64</v>
      </c>
      <c r="H725" s="128">
        <v>3</v>
      </c>
      <c r="I725" s="128">
        <v>2</v>
      </c>
      <c r="J725" s="63">
        <v>1053.5</v>
      </c>
      <c r="K725" s="63">
        <v>637.79999999999995</v>
      </c>
      <c r="L725" s="63">
        <v>0</v>
      </c>
      <c r="M725" s="129">
        <v>23</v>
      </c>
      <c r="N725" s="108">
        <v>951471.13</v>
      </c>
      <c r="O725" s="63"/>
      <c r="P725" s="63"/>
      <c r="Q725" s="63"/>
      <c r="R725" s="62">
        <v>328042.15000000002</v>
      </c>
      <c r="S725" s="62">
        <v>623428.98</v>
      </c>
      <c r="T725" s="63"/>
      <c r="U725" s="63">
        <v>1491.8017034933</v>
      </c>
      <c r="V725" s="63">
        <v>1491.8017034933</v>
      </c>
      <c r="W725" s="59">
        <v>2024</v>
      </c>
      <c r="X725" s="6" t="e">
        <v>#REF!</v>
      </c>
      <c r="Z725" s="62">
        <f t="shared" si="192"/>
        <v>7495898.6137351636</v>
      </c>
      <c r="AA725" s="55">
        <v>2954908.2826843802</v>
      </c>
      <c r="AB725" s="55">
        <v>1784361.9231493601</v>
      </c>
      <c r="AC725" s="55">
        <v>713647.09042914398</v>
      </c>
      <c r="AD725" s="55">
        <v>0</v>
      </c>
      <c r="AE725" s="55">
        <v>0</v>
      </c>
      <c r="AF725" s="55"/>
      <c r="AG725" s="55">
        <v>214102.511111926</v>
      </c>
      <c r="AH725" s="55">
        <v>0</v>
      </c>
      <c r="AI725" s="55">
        <v>0</v>
      </c>
      <c r="AJ725" s="55">
        <v>0</v>
      </c>
      <c r="AK725" s="55">
        <v>946168.58854243904</v>
      </c>
      <c r="AL725" s="55">
        <v>0</v>
      </c>
      <c r="AM725" s="55">
        <v>663134.19543221802</v>
      </c>
      <c r="AN725" s="63">
        <v>74958.986137351705</v>
      </c>
      <c r="AO725" s="64">
        <v>144617.036248344</v>
      </c>
      <c r="AP725" s="61">
        <f>+N725-'Приложение №2'!E725</f>
        <v>3.5119724925607443E-3</v>
      </c>
      <c r="AQ725" s="1">
        <v>262986.55</v>
      </c>
      <c r="AR725" s="3">
        <f t="shared" si="190"/>
        <v>65055.6</v>
      </c>
      <c r="AS725" s="3">
        <f t="shared" si="191"/>
        <v>2296080</v>
      </c>
      <c r="AT725" s="6">
        <f t="shared" si="188"/>
        <v>-1672651.02</v>
      </c>
      <c r="AU725" s="6" t="e">
        <v>#REF!</v>
      </c>
      <c r="AV725" s="6" t="e">
        <v>#REF!</v>
      </c>
      <c r="AW725" s="62">
        <f t="shared" si="182"/>
        <v>951471.12648802751</v>
      </c>
      <c r="AX725" s="55"/>
      <c r="AY725" s="55"/>
      <c r="AZ725" s="55">
        <v>935865.11</v>
      </c>
      <c r="BA725" s="55">
        <v>0</v>
      </c>
      <c r="BB725" s="55">
        <v>0</v>
      </c>
      <c r="BC725" s="55"/>
      <c r="BD725" s="55"/>
      <c r="BE725" s="55">
        <v>0</v>
      </c>
      <c r="BF725" s="55">
        <v>0</v>
      </c>
      <c r="BG725" s="55">
        <v>0</v>
      </c>
      <c r="BH725" s="55"/>
      <c r="BI725" s="55">
        <v>0</v>
      </c>
      <c r="BJ725" s="55"/>
      <c r="BK725" s="63"/>
      <c r="BL725" s="64">
        <v>15606.016488027501</v>
      </c>
      <c r="BM725" s="62">
        <f t="shared" si="183"/>
        <v>951471.12648802751</v>
      </c>
      <c r="BN725" s="55"/>
      <c r="BO725" s="55"/>
      <c r="BP725" s="55">
        <v>935865.11</v>
      </c>
      <c r="BQ725" s="55">
        <v>0</v>
      </c>
      <c r="BR725" s="55">
        <v>0</v>
      </c>
      <c r="BS725" s="55"/>
      <c r="BT725" s="55"/>
      <c r="BU725" s="55">
        <v>0</v>
      </c>
      <c r="BV725" s="55">
        <v>0</v>
      </c>
      <c r="BW725" s="55">
        <v>0</v>
      </c>
      <c r="BX725" s="55"/>
      <c r="BY725" s="55">
        <v>0</v>
      </c>
      <c r="BZ725" s="55"/>
      <c r="CA725" s="63"/>
      <c r="CB725" s="64">
        <v>15606.016488027501</v>
      </c>
      <c r="CD725" s="75"/>
      <c r="CE725" s="6"/>
    </row>
    <row r="726" spans="1:83" x14ac:dyDescent="0.25">
      <c r="A726" s="105">
        <f t="shared" si="184"/>
        <v>704</v>
      </c>
      <c r="B726" s="106">
        <f t="shared" si="180"/>
        <v>244</v>
      </c>
      <c r="C726" s="107" t="s">
        <v>397</v>
      </c>
      <c r="D726" s="107" t="s">
        <v>671</v>
      </c>
      <c r="E726" s="128">
        <v>1964</v>
      </c>
      <c r="F726" s="128">
        <v>2006</v>
      </c>
      <c r="G726" s="128" t="s">
        <v>64</v>
      </c>
      <c r="H726" s="128">
        <v>3</v>
      </c>
      <c r="I726" s="128">
        <v>2</v>
      </c>
      <c r="J726" s="63">
        <v>1137</v>
      </c>
      <c r="K726" s="63">
        <v>898.1</v>
      </c>
      <c r="L726" s="63">
        <v>238.9</v>
      </c>
      <c r="M726" s="129">
        <v>31</v>
      </c>
      <c r="N726" s="108">
        <v>6917016.3499999996</v>
      </c>
      <c r="O726" s="63"/>
      <c r="P726" s="62">
        <v>1463463.52</v>
      </c>
      <c r="Q726" s="63"/>
      <c r="R726" s="62">
        <v>729407.93</v>
      </c>
      <c r="S726" s="62">
        <v>4724144.9000000004</v>
      </c>
      <c r="T726" s="63"/>
      <c r="U726" s="63">
        <v>6083.5675982982602</v>
      </c>
      <c r="V726" s="63">
        <v>6083.5675982982602</v>
      </c>
      <c r="W726" s="59">
        <v>2024</v>
      </c>
      <c r="X726" s="6" t="e">
        <v>#REF!</v>
      </c>
      <c r="Z726" s="62">
        <f t="shared" si="192"/>
        <v>23160120.339689068</v>
      </c>
      <c r="AA726" s="55">
        <v>4146776.8334225202</v>
      </c>
      <c r="AB726" s="55">
        <v>2504088.1061239298</v>
      </c>
      <c r="AC726" s="55">
        <v>0</v>
      </c>
      <c r="AD726" s="55">
        <v>0</v>
      </c>
      <c r="AE726" s="55">
        <v>0</v>
      </c>
      <c r="AF726" s="55"/>
      <c r="AG726" s="55">
        <v>300461.21507702698</v>
      </c>
      <c r="AH726" s="55">
        <v>0</v>
      </c>
      <c r="AI726" s="55">
        <v>12145951.9421893</v>
      </c>
      <c r="AJ726" s="55">
        <v>0</v>
      </c>
      <c r="AK726" s="55">
        <v>1327807.7043784</v>
      </c>
      <c r="AL726" s="55">
        <v>0</v>
      </c>
      <c r="AM726" s="55">
        <v>2056778.07641973</v>
      </c>
      <c r="AN726" s="63">
        <v>231601.20339688999</v>
      </c>
      <c r="AO726" s="64">
        <v>446655.25868127</v>
      </c>
      <c r="AP726" s="61">
        <f>+N726-'Приложение №2'!E726</f>
        <v>-9.2651247978210449E-3</v>
      </c>
      <c r="AQ726" s="1">
        <v>589066.13</v>
      </c>
      <c r="AR726" s="3">
        <f t="shared" si="190"/>
        <v>140341.79999999999</v>
      </c>
      <c r="AS726" s="3">
        <f t="shared" si="191"/>
        <v>4953240</v>
      </c>
      <c r="AT726" s="6">
        <f t="shared" si="188"/>
        <v>-229095.09999999963</v>
      </c>
      <c r="AU726" s="6" t="e">
        <v>#REF!</v>
      </c>
      <c r="AV726" s="6" t="e">
        <v>#REF!</v>
      </c>
      <c r="AW726" s="62">
        <f t="shared" si="182"/>
        <v>6917016.3592651244</v>
      </c>
      <c r="AX726" s="55"/>
      <c r="AY726" s="55"/>
      <c r="AZ726" s="55">
        <v>0</v>
      </c>
      <c r="BA726" s="55">
        <v>0</v>
      </c>
      <c r="BB726" s="55">
        <v>0</v>
      </c>
      <c r="BC726" s="55"/>
      <c r="BD726" s="55"/>
      <c r="BE726" s="55">
        <v>0</v>
      </c>
      <c r="BF726" s="55">
        <v>6651408.9900000002</v>
      </c>
      <c r="BG726" s="55">
        <v>0</v>
      </c>
      <c r="BH726" s="55"/>
      <c r="BI726" s="55">
        <v>0</v>
      </c>
      <c r="BJ726" s="55"/>
      <c r="BK726" s="63"/>
      <c r="BL726" s="64">
        <v>265607.36926512403</v>
      </c>
      <c r="BM726" s="62">
        <f t="shared" si="183"/>
        <v>6917016.3592651244</v>
      </c>
      <c r="BN726" s="55"/>
      <c r="BO726" s="55"/>
      <c r="BP726" s="55">
        <v>0</v>
      </c>
      <c r="BQ726" s="55">
        <v>0</v>
      </c>
      <c r="BR726" s="55">
        <v>0</v>
      </c>
      <c r="BS726" s="55"/>
      <c r="BT726" s="55"/>
      <c r="BU726" s="55">
        <v>0</v>
      </c>
      <c r="BV726" s="55">
        <v>6651408.9900000002</v>
      </c>
      <c r="BW726" s="55">
        <v>0</v>
      </c>
      <c r="BX726" s="55"/>
      <c r="BY726" s="55">
        <v>0</v>
      </c>
      <c r="BZ726" s="55"/>
      <c r="CA726" s="63"/>
      <c r="CB726" s="64">
        <v>265607.36926512403</v>
      </c>
      <c r="CD726" s="75"/>
      <c r="CE726" s="6"/>
    </row>
    <row r="727" spans="1:83" x14ac:dyDescent="0.25">
      <c r="A727" s="105">
        <f t="shared" si="184"/>
        <v>705</v>
      </c>
      <c r="B727" s="106">
        <f t="shared" si="180"/>
        <v>245</v>
      </c>
      <c r="C727" s="53" t="s">
        <v>397</v>
      </c>
      <c r="D727" s="53" t="s">
        <v>672</v>
      </c>
      <c r="E727" s="54">
        <v>1965</v>
      </c>
      <c r="F727" s="54">
        <v>2006</v>
      </c>
      <c r="G727" s="54" t="s">
        <v>64</v>
      </c>
      <c r="H727" s="54">
        <v>3</v>
      </c>
      <c r="I727" s="54">
        <v>2</v>
      </c>
      <c r="J727" s="55">
        <v>1034.0999999999999</v>
      </c>
      <c r="K727" s="55">
        <v>959.8</v>
      </c>
      <c r="L727" s="55">
        <v>0</v>
      </c>
      <c r="M727" s="56">
        <v>25</v>
      </c>
      <c r="N727" s="112">
        <v>8854298.5899999999</v>
      </c>
      <c r="O727" s="55"/>
      <c r="P727" s="62">
        <v>3596207.22</v>
      </c>
      <c r="Q727" s="63"/>
      <c r="R727" s="62">
        <v>484836.6</v>
      </c>
      <c r="S727" s="62">
        <v>4773254.7699999996</v>
      </c>
      <c r="T727" s="63"/>
      <c r="U727" s="55">
        <v>7746.6906716509002</v>
      </c>
      <c r="V727" s="55">
        <v>7746.6906716509002</v>
      </c>
      <c r="W727" s="59">
        <v>2024</v>
      </c>
      <c r="X727" s="6" t="e">
        <v>#REF!</v>
      </c>
      <c r="Z727" s="62">
        <f t="shared" si="192"/>
        <v>26038489.198511451</v>
      </c>
      <c r="AA727" s="55">
        <v>4441619.6554886196</v>
      </c>
      <c r="AB727" s="55">
        <v>2682132.9909995799</v>
      </c>
      <c r="AC727" s="55">
        <v>1072706.3721425501</v>
      </c>
      <c r="AD727" s="55">
        <v>0</v>
      </c>
      <c r="AE727" s="55">
        <v>0</v>
      </c>
      <c r="AF727" s="55"/>
      <c r="AG727" s="55">
        <v>321824.513883151</v>
      </c>
      <c r="AH727" s="55">
        <v>0</v>
      </c>
      <c r="AI727" s="55">
        <v>13009549.5967461</v>
      </c>
      <c r="AJ727" s="55">
        <v>0</v>
      </c>
      <c r="AK727" s="55">
        <v>1422217.07012112</v>
      </c>
      <c r="AL727" s="55">
        <v>0</v>
      </c>
      <c r="AM727" s="55">
        <v>2326182.9909927999</v>
      </c>
      <c r="AN727" s="63">
        <v>260384.89198511501</v>
      </c>
      <c r="AO727" s="64">
        <v>501871.11615241802</v>
      </c>
      <c r="AP727" s="61" t="e">
        <f>+N727-#REF!</f>
        <v>#REF!</v>
      </c>
      <c r="AQ727" s="1">
        <v>386937</v>
      </c>
      <c r="AR727" s="3">
        <f t="shared" si="190"/>
        <v>97899.599999999991</v>
      </c>
      <c r="AS727" s="3">
        <f t="shared" si="191"/>
        <v>3455280</v>
      </c>
      <c r="AT727" s="6">
        <f t="shared" si="188"/>
        <v>1317974.7699999996</v>
      </c>
      <c r="AU727" s="6" t="e">
        <v>#REF!</v>
      </c>
      <c r="AV727" s="6" t="e">
        <v>#REF!</v>
      </c>
      <c r="AW727" s="62">
        <f t="shared" si="182"/>
        <v>7435273.7066505393</v>
      </c>
      <c r="AX727" s="55"/>
      <c r="AY727" s="55"/>
      <c r="AZ727" s="55"/>
      <c r="BA727" s="55">
        <v>0</v>
      </c>
      <c r="BB727" s="55">
        <v>0</v>
      </c>
      <c r="BC727" s="55"/>
      <c r="BD727" s="55"/>
      <c r="BE727" s="55">
        <v>0</v>
      </c>
      <c r="BF727" s="55">
        <v>7127323.29</v>
      </c>
      <c r="BG727" s="55">
        <v>0</v>
      </c>
      <c r="BH727" s="55"/>
      <c r="BI727" s="55">
        <v>0</v>
      </c>
      <c r="BJ727" s="55"/>
      <c r="BK727" s="63"/>
      <c r="BL727" s="111">
        <v>307950.41665053897</v>
      </c>
      <c r="BM727" s="62">
        <f t="shared" si="183"/>
        <v>7435273.7066505393</v>
      </c>
      <c r="BN727" s="55"/>
      <c r="BO727" s="55"/>
      <c r="BP727" s="55"/>
      <c r="BQ727" s="55">
        <v>0</v>
      </c>
      <c r="BR727" s="55">
        <v>0</v>
      </c>
      <c r="BS727" s="55"/>
      <c r="BT727" s="55"/>
      <c r="BU727" s="55">
        <v>0</v>
      </c>
      <c r="BV727" s="55">
        <v>7127323.29</v>
      </c>
      <c r="BW727" s="55">
        <v>0</v>
      </c>
      <c r="BX727" s="55"/>
      <c r="BY727" s="55">
        <v>0</v>
      </c>
      <c r="BZ727" s="55"/>
      <c r="CA727" s="63"/>
      <c r="CB727" s="64">
        <v>307950.41665053897</v>
      </c>
      <c r="CD727" s="75"/>
      <c r="CE727" s="6"/>
    </row>
    <row r="728" spans="1:83" x14ac:dyDescent="0.25">
      <c r="A728" s="105">
        <f t="shared" si="184"/>
        <v>706</v>
      </c>
      <c r="B728" s="106">
        <f t="shared" si="180"/>
        <v>246</v>
      </c>
      <c r="C728" s="53" t="s">
        <v>397</v>
      </c>
      <c r="D728" s="53" t="s">
        <v>493</v>
      </c>
      <c r="E728" s="54">
        <v>1983</v>
      </c>
      <c r="F728" s="54">
        <v>2013</v>
      </c>
      <c r="G728" s="54" t="s">
        <v>64</v>
      </c>
      <c r="H728" s="54">
        <v>5</v>
      </c>
      <c r="I728" s="54">
        <v>4</v>
      </c>
      <c r="J728" s="55">
        <v>3317.4</v>
      </c>
      <c r="K728" s="55">
        <v>2427.1</v>
      </c>
      <c r="L728" s="55">
        <v>0</v>
      </c>
      <c r="M728" s="56">
        <v>71</v>
      </c>
      <c r="N728" s="112">
        <v>3442953.74</v>
      </c>
      <c r="O728" s="55"/>
      <c r="P728" s="62">
        <v>392663.06</v>
      </c>
      <c r="Q728" s="63"/>
      <c r="R728" s="62">
        <v>774352.37</v>
      </c>
      <c r="S728" s="62">
        <v>2275938.31</v>
      </c>
      <c r="T728" s="63"/>
      <c r="U728" s="55">
        <v>1644.3863048123101</v>
      </c>
      <c r="V728" s="55">
        <v>1644.3863048123101</v>
      </c>
      <c r="W728" s="59">
        <v>2024</v>
      </c>
      <c r="X728" s="6" t="e">
        <v>#REF!</v>
      </c>
      <c r="Z728" s="62">
        <f t="shared" si="192"/>
        <v>3608535.147010555</v>
      </c>
      <c r="AA728" s="55">
        <v>0</v>
      </c>
      <c r="AB728" s="55">
        <v>0</v>
      </c>
      <c r="AC728" s="55">
        <v>3142868.1204294302</v>
      </c>
      <c r="AD728" s="55">
        <v>0</v>
      </c>
      <c r="AE728" s="55">
        <v>0</v>
      </c>
      <c r="AF728" s="55"/>
      <c r="AG728" s="55">
        <v>0</v>
      </c>
      <c r="AH728" s="55">
        <v>0</v>
      </c>
      <c r="AI728" s="55">
        <v>0</v>
      </c>
      <c r="AJ728" s="55">
        <v>0</v>
      </c>
      <c r="AK728" s="55">
        <v>0</v>
      </c>
      <c r="AL728" s="55">
        <v>0</v>
      </c>
      <c r="AM728" s="55">
        <v>360853.514701056</v>
      </c>
      <c r="AN728" s="63">
        <v>36085.351470105597</v>
      </c>
      <c r="AO728" s="64">
        <v>68728.160409963093</v>
      </c>
      <c r="AP728" s="61">
        <f>+N728-'Приложение №2'!E332</f>
        <v>1990504.5175503499</v>
      </c>
      <c r="AQ728" s="6">
        <f>701008.17</f>
        <v>701008.17</v>
      </c>
      <c r="AR728" s="3">
        <f t="shared" si="190"/>
        <v>247564.19999999998</v>
      </c>
      <c r="AS728" s="3">
        <f t="shared" si="191"/>
        <v>8737560</v>
      </c>
      <c r="AT728" s="6">
        <f t="shared" si="188"/>
        <v>-6461621.6899999995</v>
      </c>
      <c r="AU728" s="6" t="e">
        <v>#REF!</v>
      </c>
      <c r="AV728" s="6" t="e">
        <v>#REF!</v>
      </c>
      <c r="AW728" s="62">
        <f t="shared" si="182"/>
        <v>3991090.0004099631</v>
      </c>
      <c r="AX728" s="55">
        <v>0</v>
      </c>
      <c r="AY728" s="55">
        <v>0</v>
      </c>
      <c r="AZ728" s="55">
        <v>3374225.58</v>
      </c>
      <c r="BA728" s="55">
        <v>548136.26</v>
      </c>
      <c r="BB728" s="55">
        <v>0</v>
      </c>
      <c r="BC728" s="55"/>
      <c r="BD728" s="55"/>
      <c r="BE728" s="55">
        <v>0</v>
      </c>
      <c r="BF728" s="55">
        <v>0</v>
      </c>
      <c r="BG728" s="55">
        <v>0</v>
      </c>
      <c r="BH728" s="55">
        <v>0</v>
      </c>
      <c r="BI728" s="55">
        <v>0</v>
      </c>
      <c r="BJ728" s="55"/>
      <c r="BK728" s="63"/>
      <c r="BL728" s="111">
        <v>68728.160409963093</v>
      </c>
      <c r="BM728" s="62">
        <f t="shared" si="183"/>
        <v>3991090.0004099631</v>
      </c>
      <c r="BN728" s="55">
        <v>0</v>
      </c>
      <c r="BO728" s="55">
        <v>0</v>
      </c>
      <c r="BP728" s="55">
        <v>3374225.58</v>
      </c>
      <c r="BQ728" s="55">
        <v>548136.26</v>
      </c>
      <c r="BR728" s="55">
        <v>0</v>
      </c>
      <c r="BS728" s="55"/>
      <c r="BT728" s="55"/>
      <c r="BU728" s="55">
        <v>0</v>
      </c>
      <c r="BV728" s="55">
        <v>0</v>
      </c>
      <c r="BW728" s="55">
        <v>0</v>
      </c>
      <c r="BX728" s="55">
        <v>0</v>
      </c>
      <c r="BY728" s="55">
        <v>0</v>
      </c>
      <c r="BZ728" s="55"/>
      <c r="CA728" s="63"/>
      <c r="CB728" s="64">
        <v>68728.160409963093</v>
      </c>
      <c r="CD728" s="75"/>
      <c r="CE728" s="6"/>
    </row>
    <row r="729" spans="1:83" x14ac:dyDescent="0.25">
      <c r="A729" s="105">
        <f t="shared" si="184"/>
        <v>707</v>
      </c>
      <c r="B729" s="106">
        <f t="shared" si="180"/>
        <v>247</v>
      </c>
      <c r="C729" s="107" t="s">
        <v>397</v>
      </c>
      <c r="D729" s="107" t="s">
        <v>673</v>
      </c>
      <c r="E729" s="128">
        <v>1982</v>
      </c>
      <c r="F729" s="128">
        <v>2013</v>
      </c>
      <c r="G729" s="128" t="s">
        <v>64</v>
      </c>
      <c r="H729" s="128">
        <v>5</v>
      </c>
      <c r="I729" s="128">
        <v>4</v>
      </c>
      <c r="J729" s="63">
        <v>3426.4</v>
      </c>
      <c r="K729" s="63">
        <v>2421.6999999999998</v>
      </c>
      <c r="L729" s="63">
        <v>483.1</v>
      </c>
      <c r="M729" s="129">
        <v>77</v>
      </c>
      <c r="N729" s="108">
        <v>3592563.77</v>
      </c>
      <c r="O729" s="63"/>
      <c r="P729" s="63"/>
      <c r="Q729" s="63"/>
      <c r="R729" s="62">
        <v>1654968.55</v>
      </c>
      <c r="S729" s="62">
        <v>1937595.22</v>
      </c>
      <c r="T729" s="63"/>
      <c r="U729" s="63">
        <v>1236.76803007372</v>
      </c>
      <c r="V729" s="63">
        <v>1236.76803007372</v>
      </c>
      <c r="W729" s="59">
        <v>2024</v>
      </c>
      <c r="X729" s="6" t="e">
        <v>#REF!</v>
      </c>
      <c r="Z729" s="62">
        <f t="shared" si="192"/>
        <v>3753836.1733766422</v>
      </c>
      <c r="AA729" s="55">
        <v>0</v>
      </c>
      <c r="AB729" s="55">
        <v>0</v>
      </c>
      <c r="AC729" s="55">
        <v>3269418.6305470802</v>
      </c>
      <c r="AD729" s="55">
        <v>0</v>
      </c>
      <c r="AE729" s="55">
        <v>0</v>
      </c>
      <c r="AF729" s="55"/>
      <c r="AG729" s="55">
        <v>0</v>
      </c>
      <c r="AH729" s="55">
        <v>0</v>
      </c>
      <c r="AI729" s="55">
        <v>0</v>
      </c>
      <c r="AJ729" s="55">
        <v>0</v>
      </c>
      <c r="AK729" s="55">
        <v>0</v>
      </c>
      <c r="AL729" s="55">
        <v>0</v>
      </c>
      <c r="AM729" s="55">
        <v>375383.61733766401</v>
      </c>
      <c r="AN729" s="63">
        <v>37538.361733766404</v>
      </c>
      <c r="AO729" s="64">
        <v>71495.563758131495</v>
      </c>
      <c r="AP729" s="61">
        <f>+N729-'Приложение №2'!E729</f>
        <v>-3.7581315264105797E-3</v>
      </c>
      <c r="AQ729" s="1">
        <v>1309402.75</v>
      </c>
      <c r="AR729" s="3">
        <f t="shared" si="190"/>
        <v>345565.8</v>
      </c>
      <c r="AS729" s="3">
        <f t="shared" si="191"/>
        <v>12196440</v>
      </c>
      <c r="AT729" s="6">
        <f t="shared" si="188"/>
        <v>-10258844.779999999</v>
      </c>
      <c r="AU729" s="6" t="e">
        <v>#REF!</v>
      </c>
      <c r="AV729" s="6" t="e">
        <v>#REF!</v>
      </c>
      <c r="AW729" s="62">
        <f t="shared" si="182"/>
        <v>3592563.7737581315</v>
      </c>
      <c r="AX729" s="55">
        <v>0</v>
      </c>
      <c r="AY729" s="55">
        <v>0</v>
      </c>
      <c r="AZ729" s="55">
        <v>3521068.21</v>
      </c>
      <c r="BA729" s="55">
        <v>0</v>
      </c>
      <c r="BB729" s="55">
        <v>0</v>
      </c>
      <c r="BC729" s="55"/>
      <c r="BD729" s="55"/>
      <c r="BE729" s="55">
        <v>0</v>
      </c>
      <c r="BF729" s="55">
        <v>0</v>
      </c>
      <c r="BG729" s="55">
        <v>0</v>
      </c>
      <c r="BH729" s="55">
        <v>0</v>
      </c>
      <c r="BI729" s="55">
        <v>0</v>
      </c>
      <c r="BJ729" s="55"/>
      <c r="BK729" s="63"/>
      <c r="BL729" s="64">
        <v>71495.563758131495</v>
      </c>
      <c r="BM729" s="62">
        <f t="shared" si="183"/>
        <v>3592563.7737581315</v>
      </c>
      <c r="BN729" s="55">
        <v>0</v>
      </c>
      <c r="BO729" s="55">
        <v>0</v>
      </c>
      <c r="BP729" s="55">
        <v>3521068.21</v>
      </c>
      <c r="BQ729" s="55">
        <v>0</v>
      </c>
      <c r="BR729" s="55">
        <v>0</v>
      </c>
      <c r="BS729" s="55"/>
      <c r="BT729" s="55"/>
      <c r="BU729" s="55">
        <v>0</v>
      </c>
      <c r="BV729" s="55">
        <v>0</v>
      </c>
      <c r="BW729" s="55">
        <v>0</v>
      </c>
      <c r="BX729" s="55">
        <v>0</v>
      </c>
      <c r="BY729" s="55">
        <v>0</v>
      </c>
      <c r="BZ729" s="55"/>
      <c r="CA729" s="63"/>
      <c r="CB729" s="64">
        <v>71495.563758131495</v>
      </c>
      <c r="CD729" s="75"/>
      <c r="CE729" s="6"/>
    </row>
    <row r="730" spans="1:83" x14ac:dyDescent="0.25">
      <c r="A730" s="105">
        <f t="shared" si="184"/>
        <v>708</v>
      </c>
      <c r="B730" s="106">
        <f t="shared" ref="B730:B793" si="193">+B729+1</f>
        <v>248</v>
      </c>
      <c r="C730" s="53" t="s">
        <v>397</v>
      </c>
      <c r="D730" s="53" t="s">
        <v>674</v>
      </c>
      <c r="E730" s="54">
        <v>1975</v>
      </c>
      <c r="F730" s="54"/>
      <c r="G730" s="54" t="s">
        <v>64</v>
      </c>
      <c r="H730" s="54">
        <v>4</v>
      </c>
      <c r="I730" s="54">
        <v>3</v>
      </c>
      <c r="J730" s="55">
        <v>2248.5</v>
      </c>
      <c r="K730" s="55">
        <v>1870.6</v>
      </c>
      <c r="L730" s="55">
        <v>291.10000000000002</v>
      </c>
      <c r="M730" s="56">
        <v>72</v>
      </c>
      <c r="N730" s="112">
        <v>640276.6</v>
      </c>
      <c r="O730" s="55"/>
      <c r="P730" s="63"/>
      <c r="Q730" s="63"/>
      <c r="R730" s="62">
        <v>640276.6</v>
      </c>
      <c r="S730" s="63"/>
      <c r="T730" s="113">
        <v>0</v>
      </c>
      <c r="U730" s="55">
        <v>296.19123837720298</v>
      </c>
      <c r="V730" s="55">
        <v>296.19123837720298</v>
      </c>
      <c r="W730" s="59">
        <v>2024</v>
      </c>
      <c r="X730" s="6"/>
      <c r="Z730" s="62"/>
      <c r="AA730" s="55"/>
      <c r="AB730" s="55"/>
      <c r="AC730" s="55"/>
      <c r="AD730" s="55"/>
      <c r="AE730" s="55"/>
      <c r="AF730" s="55"/>
      <c r="AG730" s="55"/>
      <c r="AH730" s="55"/>
      <c r="AI730" s="55"/>
      <c r="AJ730" s="55"/>
      <c r="AK730" s="55"/>
      <c r="AL730" s="55"/>
      <c r="AM730" s="55"/>
      <c r="AN730" s="63"/>
      <c r="AO730" s="64"/>
      <c r="AP730" s="61">
        <f>+N730-'Приложение №2'!E730</f>
        <v>0</v>
      </c>
      <c r="AQ730" s="73">
        <v>1340374.7</v>
      </c>
      <c r="AR730" s="3">
        <f t="shared" si="190"/>
        <v>250185.60000000001</v>
      </c>
      <c r="AS730" s="3">
        <f t="shared" si="191"/>
        <v>8830080</v>
      </c>
      <c r="AT730" s="6">
        <f t="shared" si="188"/>
        <v>-8830080</v>
      </c>
      <c r="AW730" s="62">
        <f t="shared" si="182"/>
        <v>640276.6</v>
      </c>
      <c r="AX730" s="55"/>
      <c r="AY730" s="55"/>
      <c r="AZ730" s="55"/>
      <c r="BA730" s="55">
        <v>640276.6</v>
      </c>
      <c r="BB730" s="55"/>
      <c r="BC730" s="55"/>
      <c r="BD730" s="55"/>
      <c r="BE730" s="55"/>
      <c r="BF730" s="55"/>
      <c r="BG730" s="55"/>
      <c r="BH730" s="55"/>
      <c r="BI730" s="55"/>
      <c r="BJ730" s="55"/>
      <c r="BK730" s="63"/>
      <c r="BL730" s="111"/>
      <c r="BM730" s="62">
        <f t="shared" si="183"/>
        <v>640276.6</v>
      </c>
      <c r="BN730" s="55"/>
      <c r="BO730" s="55"/>
      <c r="BP730" s="55"/>
      <c r="BQ730" s="55">
        <v>640276.6</v>
      </c>
      <c r="BR730" s="55"/>
      <c r="BS730" s="55"/>
      <c r="BT730" s="55"/>
      <c r="BU730" s="55"/>
      <c r="BV730" s="55"/>
      <c r="BW730" s="55"/>
      <c r="BX730" s="55"/>
      <c r="BY730" s="55"/>
      <c r="BZ730" s="55"/>
      <c r="CA730" s="63"/>
      <c r="CB730" s="64"/>
      <c r="CD730" s="75"/>
      <c r="CE730" s="6"/>
    </row>
    <row r="731" spans="1:83" x14ac:dyDescent="0.25">
      <c r="A731" s="105">
        <f t="shared" si="184"/>
        <v>709</v>
      </c>
      <c r="B731" s="106">
        <f t="shared" si="193"/>
        <v>249</v>
      </c>
      <c r="C731" s="107" t="s">
        <v>397</v>
      </c>
      <c r="D731" s="107" t="s">
        <v>675</v>
      </c>
      <c r="E731" s="128">
        <v>1974</v>
      </c>
      <c r="F731" s="128">
        <v>2013</v>
      </c>
      <c r="G731" s="128" t="s">
        <v>64</v>
      </c>
      <c r="H731" s="128">
        <v>4</v>
      </c>
      <c r="I731" s="128">
        <v>3</v>
      </c>
      <c r="J731" s="63">
        <v>2238.1999999999998</v>
      </c>
      <c r="K731" s="63">
        <v>2068.4499999999998</v>
      </c>
      <c r="L731" s="63">
        <v>0</v>
      </c>
      <c r="M731" s="129">
        <v>74</v>
      </c>
      <c r="N731" s="108">
        <v>3127146.28</v>
      </c>
      <c r="O731" s="63"/>
      <c r="P731" s="63"/>
      <c r="Q731" s="63"/>
      <c r="R731" s="62">
        <v>841384.12</v>
      </c>
      <c r="S731" s="62">
        <v>2285762.16</v>
      </c>
      <c r="T731" s="63"/>
      <c r="U731" s="63">
        <v>1511.8307310151599</v>
      </c>
      <c r="V731" s="63">
        <v>1511.8307310151599</v>
      </c>
      <c r="W731" s="59">
        <v>2024</v>
      </c>
      <c r="X731" s="6" t="e">
        <v>#REF!</v>
      </c>
      <c r="Z731" s="62">
        <f>SUM(AA731:AO731)</f>
        <v>3125330.0203881604</v>
      </c>
      <c r="AA731" s="55">
        <v>0</v>
      </c>
      <c r="AB731" s="55">
        <v>0</v>
      </c>
      <c r="AC731" s="55">
        <v>2722018.6825771499</v>
      </c>
      <c r="AD731" s="55">
        <v>0</v>
      </c>
      <c r="AE731" s="55">
        <v>0</v>
      </c>
      <c r="AF731" s="55"/>
      <c r="AG731" s="55">
        <v>0</v>
      </c>
      <c r="AH731" s="55">
        <v>0</v>
      </c>
      <c r="AI731" s="55">
        <v>0</v>
      </c>
      <c r="AJ731" s="55">
        <v>0</v>
      </c>
      <c r="AK731" s="55">
        <v>0</v>
      </c>
      <c r="AL731" s="55">
        <v>0</v>
      </c>
      <c r="AM731" s="55">
        <v>312533.00203881599</v>
      </c>
      <c r="AN731" s="63">
        <v>31253.300203881601</v>
      </c>
      <c r="AO731" s="64">
        <v>59525.035568312902</v>
      </c>
      <c r="AP731" s="61">
        <f>+N731-'Приложение №2'!E731</f>
        <v>4.4316868297755718E-3</v>
      </c>
      <c r="AQ731" s="1">
        <v>630402.22</v>
      </c>
      <c r="AR731" s="3">
        <f t="shared" si="190"/>
        <v>210981.9</v>
      </c>
      <c r="AS731" s="3">
        <f t="shared" si="191"/>
        <v>7446420</v>
      </c>
      <c r="AT731" s="6">
        <f t="shared" si="188"/>
        <v>-5160657.84</v>
      </c>
      <c r="AU731" s="6" t="e">
        <v>#REF!</v>
      </c>
      <c r="AV731" s="6" t="e">
        <v>#REF!</v>
      </c>
      <c r="AW731" s="62">
        <f t="shared" si="182"/>
        <v>3127146.275568313</v>
      </c>
      <c r="AX731" s="55">
        <v>0</v>
      </c>
      <c r="AY731" s="55">
        <v>0</v>
      </c>
      <c r="AZ731" s="55">
        <v>3067621.24</v>
      </c>
      <c r="BA731" s="55">
        <v>0</v>
      </c>
      <c r="BB731" s="55">
        <v>0</v>
      </c>
      <c r="BC731" s="55"/>
      <c r="BD731" s="55"/>
      <c r="BE731" s="55">
        <v>0</v>
      </c>
      <c r="BF731" s="55">
        <v>0</v>
      </c>
      <c r="BG731" s="55">
        <v>0</v>
      </c>
      <c r="BH731" s="55">
        <v>0</v>
      </c>
      <c r="BI731" s="55">
        <v>0</v>
      </c>
      <c r="BJ731" s="55"/>
      <c r="BK731" s="63"/>
      <c r="BL731" s="64">
        <v>59525.035568312902</v>
      </c>
      <c r="BM731" s="62">
        <f t="shared" si="183"/>
        <v>3127146.275568313</v>
      </c>
      <c r="BN731" s="55">
        <v>0</v>
      </c>
      <c r="BO731" s="55">
        <v>0</v>
      </c>
      <c r="BP731" s="55">
        <v>3067621.24</v>
      </c>
      <c r="BQ731" s="55">
        <v>0</v>
      </c>
      <c r="BR731" s="55">
        <v>0</v>
      </c>
      <c r="BS731" s="55"/>
      <c r="BT731" s="55"/>
      <c r="BU731" s="55">
        <v>0</v>
      </c>
      <c r="BV731" s="55">
        <v>0</v>
      </c>
      <c r="BW731" s="55">
        <v>0</v>
      </c>
      <c r="BX731" s="55">
        <v>0</v>
      </c>
      <c r="BY731" s="55">
        <v>0</v>
      </c>
      <c r="BZ731" s="55"/>
      <c r="CA731" s="63"/>
      <c r="CB731" s="64">
        <v>59525.035568312902</v>
      </c>
      <c r="CD731" s="75"/>
      <c r="CE731" s="6"/>
    </row>
    <row r="732" spans="1:83" x14ac:dyDescent="0.25">
      <c r="A732" s="105">
        <f t="shared" si="184"/>
        <v>710</v>
      </c>
      <c r="B732" s="106">
        <f t="shared" si="193"/>
        <v>250</v>
      </c>
      <c r="C732" s="53" t="s">
        <v>397</v>
      </c>
      <c r="D732" s="53" t="s">
        <v>676</v>
      </c>
      <c r="E732" s="54">
        <v>1976</v>
      </c>
      <c r="F732" s="54"/>
      <c r="G732" s="54" t="s">
        <v>64</v>
      </c>
      <c r="H732" s="54">
        <v>4</v>
      </c>
      <c r="I732" s="54">
        <v>6</v>
      </c>
      <c r="J732" s="55">
        <v>4614</v>
      </c>
      <c r="K732" s="55">
        <v>4270.7</v>
      </c>
      <c r="L732" s="55">
        <v>0</v>
      </c>
      <c r="M732" s="56">
        <v>148</v>
      </c>
      <c r="N732" s="112">
        <v>1357157.63</v>
      </c>
      <c r="O732" s="55"/>
      <c r="P732" s="63"/>
      <c r="Q732" s="63"/>
      <c r="R732" s="62">
        <v>1357157.63</v>
      </c>
      <c r="S732" s="63"/>
      <c r="T732" s="113">
        <v>0</v>
      </c>
      <c r="U732" s="55">
        <v>317.78341489685499</v>
      </c>
      <c r="V732" s="55">
        <v>317.78341489685499</v>
      </c>
      <c r="W732" s="59">
        <v>2024</v>
      </c>
      <c r="X732" s="6"/>
      <c r="Z732" s="62"/>
      <c r="AA732" s="55"/>
      <c r="AB732" s="55"/>
      <c r="AC732" s="55"/>
      <c r="AD732" s="55"/>
      <c r="AE732" s="55"/>
      <c r="AF732" s="55"/>
      <c r="AG732" s="55"/>
      <c r="AH732" s="55"/>
      <c r="AI732" s="55"/>
      <c r="AJ732" s="55"/>
      <c r="AK732" s="55"/>
      <c r="AL732" s="55"/>
      <c r="AM732" s="55"/>
      <c r="AN732" s="63"/>
      <c r="AO732" s="64"/>
      <c r="AP732" s="61">
        <f>+N732-'Приложение №2'!E732</f>
        <v>0</v>
      </c>
      <c r="AQ732" s="73">
        <v>2376571.59</v>
      </c>
      <c r="AR732" s="3">
        <f t="shared" si="190"/>
        <v>435611.39999999997</v>
      </c>
      <c r="AS732" s="3">
        <f t="shared" si="191"/>
        <v>15374520</v>
      </c>
      <c r="AT732" s="6">
        <f t="shared" si="188"/>
        <v>-15374520</v>
      </c>
      <c r="AU732" s="6"/>
      <c r="AW732" s="62">
        <f t="shared" si="182"/>
        <v>1357157.63</v>
      </c>
      <c r="AX732" s="55"/>
      <c r="AY732" s="55"/>
      <c r="AZ732" s="55"/>
      <c r="BA732" s="55">
        <v>1357157.63</v>
      </c>
      <c r="BB732" s="55"/>
      <c r="BC732" s="55"/>
      <c r="BD732" s="55"/>
      <c r="BE732" s="55"/>
      <c r="BF732" s="55"/>
      <c r="BG732" s="55"/>
      <c r="BH732" s="55"/>
      <c r="BI732" s="55"/>
      <c r="BJ732" s="55"/>
      <c r="BK732" s="63"/>
      <c r="BL732" s="111"/>
      <c r="BM732" s="62">
        <f t="shared" si="183"/>
        <v>1357157.63</v>
      </c>
      <c r="BN732" s="55"/>
      <c r="BO732" s="55"/>
      <c r="BP732" s="55"/>
      <c r="BQ732" s="55">
        <v>1357157.63</v>
      </c>
      <c r="BR732" s="55"/>
      <c r="BS732" s="55"/>
      <c r="BT732" s="55"/>
      <c r="BU732" s="55"/>
      <c r="BV732" s="55"/>
      <c r="BW732" s="55"/>
      <c r="BX732" s="55"/>
      <c r="BY732" s="55"/>
      <c r="BZ732" s="55"/>
      <c r="CA732" s="63"/>
      <c r="CB732" s="64"/>
      <c r="CD732" s="75"/>
      <c r="CE732" s="6"/>
    </row>
    <row r="733" spans="1:83" x14ac:dyDescent="0.25">
      <c r="A733" s="105">
        <f t="shared" si="184"/>
        <v>711</v>
      </c>
      <c r="B733" s="106">
        <f t="shared" si="193"/>
        <v>251</v>
      </c>
      <c r="C733" s="53" t="s">
        <v>397</v>
      </c>
      <c r="D733" s="53" t="s">
        <v>677</v>
      </c>
      <c r="E733" s="54">
        <v>1981</v>
      </c>
      <c r="F733" s="54"/>
      <c r="G733" s="54" t="s">
        <v>64</v>
      </c>
      <c r="H733" s="54">
        <v>5</v>
      </c>
      <c r="I733" s="54">
        <v>4</v>
      </c>
      <c r="J733" s="55">
        <v>3315.7</v>
      </c>
      <c r="K733" s="55">
        <v>2406</v>
      </c>
      <c r="L733" s="55">
        <v>444.3</v>
      </c>
      <c r="M733" s="56">
        <v>83</v>
      </c>
      <c r="N733" s="112">
        <v>530132.51</v>
      </c>
      <c r="O733" s="55"/>
      <c r="P733" s="63"/>
      <c r="Q733" s="63"/>
      <c r="R733" s="62">
        <v>530132.51</v>
      </c>
      <c r="S733" s="63"/>
      <c r="T733" s="113">
        <v>0</v>
      </c>
      <c r="U733" s="55">
        <v>185.99182893028799</v>
      </c>
      <c r="V733" s="55">
        <v>185.99182893028799</v>
      </c>
      <c r="W733" s="59">
        <v>2024</v>
      </c>
      <c r="X733" s="6"/>
      <c r="Z733" s="62"/>
      <c r="AA733" s="55"/>
      <c r="AB733" s="55"/>
      <c r="AC733" s="55"/>
      <c r="AD733" s="55"/>
      <c r="AE733" s="55"/>
      <c r="AF733" s="55"/>
      <c r="AG733" s="55"/>
      <c r="AH733" s="55"/>
      <c r="AI733" s="55"/>
      <c r="AJ733" s="55"/>
      <c r="AK733" s="55"/>
      <c r="AL733" s="55"/>
      <c r="AM733" s="55"/>
      <c r="AN733" s="63"/>
      <c r="AO733" s="64"/>
      <c r="AP733" s="61">
        <f>+N733-'Приложение №2'!E733</f>
        <v>0</v>
      </c>
      <c r="AQ733" s="73">
        <v>1793143.38</v>
      </c>
      <c r="AR733" s="3">
        <f t="shared" si="190"/>
        <v>336049.2</v>
      </c>
      <c r="AS733" s="3">
        <f t="shared" si="191"/>
        <v>11860560</v>
      </c>
      <c r="AT733" s="6">
        <f t="shared" si="188"/>
        <v>-11860560</v>
      </c>
      <c r="AU733" s="6"/>
      <c r="AW733" s="62">
        <f t="shared" si="182"/>
        <v>530132.51</v>
      </c>
      <c r="AX733" s="55"/>
      <c r="AY733" s="55"/>
      <c r="AZ733" s="55"/>
      <c r="BA733" s="55">
        <v>530132.51</v>
      </c>
      <c r="BB733" s="55"/>
      <c r="BC733" s="55"/>
      <c r="BD733" s="55"/>
      <c r="BE733" s="55"/>
      <c r="BF733" s="55"/>
      <c r="BG733" s="55"/>
      <c r="BH733" s="55"/>
      <c r="BI733" s="55"/>
      <c r="BJ733" s="55"/>
      <c r="BK733" s="63"/>
      <c r="BL733" s="111"/>
      <c r="BM733" s="62">
        <f t="shared" si="183"/>
        <v>530132.51</v>
      </c>
      <c r="BN733" s="55"/>
      <c r="BO733" s="55"/>
      <c r="BP733" s="55"/>
      <c r="BQ733" s="55">
        <v>530132.51</v>
      </c>
      <c r="BR733" s="55"/>
      <c r="BS733" s="55"/>
      <c r="BT733" s="55"/>
      <c r="BU733" s="55"/>
      <c r="BV733" s="55"/>
      <c r="BW733" s="55"/>
      <c r="BX733" s="55"/>
      <c r="BY733" s="55"/>
      <c r="BZ733" s="55"/>
      <c r="CA733" s="63"/>
      <c r="CB733" s="64"/>
      <c r="CD733" s="75"/>
      <c r="CE733" s="6"/>
    </row>
    <row r="734" spans="1:83" x14ac:dyDescent="0.25">
      <c r="A734" s="105">
        <f t="shared" si="184"/>
        <v>712</v>
      </c>
      <c r="B734" s="106">
        <f t="shared" si="193"/>
        <v>252</v>
      </c>
      <c r="C734" s="53" t="s">
        <v>212</v>
      </c>
      <c r="D734" s="53" t="s">
        <v>678</v>
      </c>
      <c r="E734" s="54">
        <v>1976</v>
      </c>
      <c r="F734" s="54">
        <v>1976</v>
      </c>
      <c r="G734" s="54" t="s">
        <v>64</v>
      </c>
      <c r="H734" s="54">
        <v>3</v>
      </c>
      <c r="I734" s="54">
        <v>4</v>
      </c>
      <c r="J734" s="55">
        <v>2192.3000000000002</v>
      </c>
      <c r="K734" s="55">
        <v>2028.1</v>
      </c>
      <c r="L734" s="55">
        <v>0</v>
      </c>
      <c r="M734" s="56">
        <v>85</v>
      </c>
      <c r="N734" s="112">
        <v>3025771.35</v>
      </c>
      <c r="O734" s="55"/>
      <c r="P734" s="63"/>
      <c r="Q734" s="63"/>
      <c r="R734" s="62">
        <v>1127247.27</v>
      </c>
      <c r="S734" s="62">
        <v>1898524.08</v>
      </c>
      <c r="T734" s="113">
        <v>0</v>
      </c>
      <c r="U734" s="55">
        <v>1491.9241407148099</v>
      </c>
      <c r="V734" s="55">
        <v>1491.9241407148099</v>
      </c>
      <c r="W734" s="59">
        <v>2024</v>
      </c>
      <c r="X734" s="6" t="e">
        <v>#REF!</v>
      </c>
      <c r="Z734" s="62">
        <f>SUM(AA734:AO734)</f>
        <v>31013862.251715004</v>
      </c>
      <c r="AA734" s="55">
        <v>0</v>
      </c>
      <c r="AB734" s="55">
        <v>0</v>
      </c>
      <c r="AC734" s="55">
        <v>0</v>
      </c>
      <c r="AD734" s="55">
        <v>0</v>
      </c>
      <c r="AE734" s="55">
        <v>0</v>
      </c>
      <c r="AF734" s="55"/>
      <c r="AG734" s="55">
        <v>0</v>
      </c>
      <c r="AH734" s="55">
        <v>0</v>
      </c>
      <c r="AI734" s="55"/>
      <c r="AJ734" s="55">
        <v>0</v>
      </c>
      <c r="AK734" s="55">
        <v>0</v>
      </c>
      <c r="AL734" s="55">
        <v>23285097.547431301</v>
      </c>
      <c r="AM734" s="55">
        <v>5902452.2175000003</v>
      </c>
      <c r="AN734" s="63">
        <v>626122.28700000001</v>
      </c>
      <c r="AO734" s="64">
        <v>1200190.1997837001</v>
      </c>
      <c r="AP734" s="61">
        <f>+N734-'Приложение №2'!E734</f>
        <v>2.1630013361573219E-4</v>
      </c>
      <c r="AQ734" s="1">
        <v>920381.07</v>
      </c>
      <c r="AR734" s="3">
        <f t="shared" si="190"/>
        <v>206866.19999999998</v>
      </c>
      <c r="AS734" s="3">
        <f t="shared" si="191"/>
        <v>7301160</v>
      </c>
      <c r="AT734" s="6">
        <f t="shared" si="188"/>
        <v>-5402635.9199999999</v>
      </c>
      <c r="AU734" s="6" t="e">
        <v>#REF!</v>
      </c>
      <c r="AV734" s="6" t="e">
        <v>#REF!</v>
      </c>
      <c r="AW734" s="62">
        <f t="shared" si="182"/>
        <v>3025771.3497837</v>
      </c>
      <c r="AX734" s="55">
        <v>0</v>
      </c>
      <c r="AY734" s="55">
        <v>0</v>
      </c>
      <c r="AZ734" s="55">
        <v>0</v>
      </c>
      <c r="BA734" s="55">
        <v>0</v>
      </c>
      <c r="BB734" s="55">
        <v>0</v>
      </c>
      <c r="BC734" s="55"/>
      <c r="BD734" s="55"/>
      <c r="BE734" s="55">
        <v>0</v>
      </c>
      <c r="BF734" s="55"/>
      <c r="BG734" s="55">
        <v>0</v>
      </c>
      <c r="BH734" s="55">
        <v>0</v>
      </c>
      <c r="BI734" s="55">
        <v>1825581.15</v>
      </c>
      <c r="BJ734" s="55"/>
      <c r="BK734" s="63"/>
      <c r="BL734" s="111">
        <v>1200190.1997837001</v>
      </c>
      <c r="BM734" s="62">
        <f t="shared" si="183"/>
        <v>3025771.3497837</v>
      </c>
      <c r="BN734" s="55">
        <v>0</v>
      </c>
      <c r="BO734" s="55">
        <v>0</v>
      </c>
      <c r="BP734" s="55">
        <v>0</v>
      </c>
      <c r="BQ734" s="55">
        <v>0</v>
      </c>
      <c r="BR734" s="55">
        <v>0</v>
      </c>
      <c r="BS734" s="55"/>
      <c r="BT734" s="55"/>
      <c r="BU734" s="55">
        <v>0</v>
      </c>
      <c r="BV734" s="55"/>
      <c r="BW734" s="55">
        <v>0</v>
      </c>
      <c r="BX734" s="55">
        <v>0</v>
      </c>
      <c r="BY734" s="55">
        <v>1825581.15</v>
      </c>
      <c r="BZ734" s="55"/>
      <c r="CA734" s="63"/>
      <c r="CB734" s="64">
        <v>1200190.1997837001</v>
      </c>
      <c r="CD734" s="75"/>
      <c r="CE734" s="6"/>
    </row>
    <row r="735" spans="1:83" x14ac:dyDescent="0.25">
      <c r="A735" s="105">
        <f t="shared" si="184"/>
        <v>713</v>
      </c>
      <c r="B735" s="106">
        <f t="shared" si="193"/>
        <v>253</v>
      </c>
      <c r="C735" s="107" t="s">
        <v>212</v>
      </c>
      <c r="D735" s="107" t="s">
        <v>679</v>
      </c>
      <c r="E735" s="128" t="s">
        <v>680</v>
      </c>
      <c r="F735" s="128"/>
      <c r="G735" s="128" t="s">
        <v>64</v>
      </c>
      <c r="H735" s="128" t="s">
        <v>184</v>
      </c>
      <c r="I735" s="128" t="s">
        <v>102</v>
      </c>
      <c r="J735" s="63">
        <v>2391.4</v>
      </c>
      <c r="K735" s="63">
        <v>1852</v>
      </c>
      <c r="L735" s="63">
        <v>0</v>
      </c>
      <c r="M735" s="129">
        <v>60</v>
      </c>
      <c r="N735" s="108">
        <v>8070837.21</v>
      </c>
      <c r="O735" s="63"/>
      <c r="P735" s="63"/>
      <c r="Q735" s="62">
        <v>1000000</v>
      </c>
      <c r="R735" s="62">
        <v>1216932.5900000001</v>
      </c>
      <c r="S735" s="62">
        <v>5853904.6200000001</v>
      </c>
      <c r="T735" s="63"/>
      <c r="U735" s="63">
        <v>4357.9034605582301</v>
      </c>
      <c r="V735" s="63">
        <v>4357.9034605582301</v>
      </c>
      <c r="W735" s="59">
        <v>2024</v>
      </c>
      <c r="X735" s="6"/>
      <c r="Z735" s="62"/>
      <c r="AA735" s="55"/>
      <c r="AB735" s="55"/>
      <c r="AC735" s="55"/>
      <c r="AD735" s="55"/>
      <c r="AE735" s="55"/>
      <c r="AF735" s="55"/>
      <c r="AG735" s="55"/>
      <c r="AH735" s="55"/>
      <c r="AI735" s="55"/>
      <c r="AJ735" s="55"/>
      <c r="AK735" s="55"/>
      <c r="AL735" s="55"/>
      <c r="AM735" s="55"/>
      <c r="AN735" s="63"/>
      <c r="AO735" s="64"/>
      <c r="AP735" s="61">
        <f>+N735-'Приложение №2'!E735</f>
        <v>1.046166755259037E-3</v>
      </c>
      <c r="AQ735" s="65">
        <v>1018583.39</v>
      </c>
      <c r="AR735" s="3">
        <f>+(K735*10.5+L735*21)*12*0.85</f>
        <v>198349.19999999998</v>
      </c>
      <c r="AS735" s="3">
        <f>+(K735*10.5+L735*21)*12*30</f>
        <v>7000560</v>
      </c>
      <c r="AT735" s="6"/>
      <c r="AU735" s="6"/>
      <c r="AV735" s="6"/>
      <c r="AW735" s="110">
        <f t="shared" si="182"/>
        <v>8070837.2089538332</v>
      </c>
      <c r="AX735" s="55">
        <v>7187290.3763408205</v>
      </c>
      <c r="AY735" s="55"/>
      <c r="AZ735" s="55"/>
      <c r="BA735" s="55"/>
      <c r="BB735" s="55"/>
      <c r="BC735" s="55"/>
      <c r="BD735" s="55"/>
      <c r="BE735" s="55"/>
      <c r="BF735" s="55"/>
      <c r="BG735" s="55"/>
      <c r="BH735" s="55"/>
      <c r="BI735" s="55"/>
      <c r="BJ735" s="55">
        <v>645666.97671630699</v>
      </c>
      <c r="BK735" s="63">
        <v>80708.372089538301</v>
      </c>
      <c r="BL735" s="64">
        <v>157171.48380716701</v>
      </c>
      <c r="BM735" s="110">
        <f t="shared" si="183"/>
        <v>8070837.2089538332</v>
      </c>
      <c r="BN735" s="55">
        <v>7187290.3763408205</v>
      </c>
      <c r="BO735" s="55"/>
      <c r="BP735" s="55"/>
      <c r="BQ735" s="55"/>
      <c r="BR735" s="55"/>
      <c r="BS735" s="55"/>
      <c r="BT735" s="55"/>
      <c r="BU735" s="55"/>
      <c r="BV735" s="55"/>
      <c r="BW735" s="55"/>
      <c r="BX735" s="55"/>
      <c r="BY735" s="55"/>
      <c r="BZ735" s="55">
        <v>645666.97671630699</v>
      </c>
      <c r="CA735" s="63">
        <v>80708.372089538301</v>
      </c>
      <c r="CB735" s="64">
        <v>157171.48380716701</v>
      </c>
      <c r="CD735" s="75"/>
      <c r="CE735" s="6"/>
    </row>
    <row r="736" spans="1:83" x14ac:dyDescent="0.25">
      <c r="A736" s="105">
        <f t="shared" si="184"/>
        <v>714</v>
      </c>
      <c r="B736" s="106">
        <f t="shared" si="193"/>
        <v>254</v>
      </c>
      <c r="C736" s="107" t="s">
        <v>212</v>
      </c>
      <c r="D736" s="107" t="s">
        <v>681</v>
      </c>
      <c r="E736" s="128">
        <v>1974</v>
      </c>
      <c r="F736" s="128">
        <v>1974</v>
      </c>
      <c r="G736" s="128" t="s">
        <v>64</v>
      </c>
      <c r="H736" s="128">
        <v>2</v>
      </c>
      <c r="I736" s="128">
        <v>2</v>
      </c>
      <c r="J736" s="63">
        <v>473.3</v>
      </c>
      <c r="K736" s="63">
        <v>438.4</v>
      </c>
      <c r="L736" s="63">
        <v>0</v>
      </c>
      <c r="M736" s="129">
        <v>9</v>
      </c>
      <c r="N736" s="108">
        <v>1422083.61</v>
      </c>
      <c r="O736" s="63"/>
      <c r="P736" s="62">
        <v>707152.37</v>
      </c>
      <c r="Q736" s="63"/>
      <c r="R736" s="62">
        <v>34758.82</v>
      </c>
      <c r="S736" s="62">
        <v>677581.02</v>
      </c>
      <c r="T736" s="62">
        <v>2591.4</v>
      </c>
      <c r="U736" s="63">
        <v>3243.80385492701</v>
      </c>
      <c r="V736" s="63">
        <v>3243.80385492701</v>
      </c>
      <c r="W736" s="59">
        <v>2024</v>
      </c>
      <c r="X736" s="6" t="e">
        <v>#REF!</v>
      </c>
      <c r="Z736" s="62">
        <f t="shared" ref="Z736:Z750" si="194">SUM(AA736:AO736)</f>
        <v>1576901.3985240001</v>
      </c>
      <c r="AA736" s="55"/>
      <c r="AB736" s="55"/>
      <c r="AC736" s="55">
        <v>758098.38</v>
      </c>
      <c r="AD736" s="55">
        <v>627792.72</v>
      </c>
      <c r="AE736" s="55">
        <v>0</v>
      </c>
      <c r="AF736" s="55"/>
      <c r="AG736" s="55">
        <v>154817.788524</v>
      </c>
      <c r="AH736" s="55">
        <v>0</v>
      </c>
      <c r="AI736" s="55"/>
      <c r="AJ736" s="55">
        <v>0</v>
      </c>
      <c r="AK736" s="55">
        <v>0</v>
      </c>
      <c r="AL736" s="55">
        <v>0</v>
      </c>
      <c r="AO736" s="64">
        <v>36192.51</v>
      </c>
      <c r="AP736" s="61">
        <f>+N736-'Приложение №2'!E736</f>
        <v>0</v>
      </c>
      <c r="AQ736" s="1">
        <v>91395.82</v>
      </c>
      <c r="AR736" s="3">
        <f>+(K736*10+L736*20)*12*0.85</f>
        <v>44716.799999999996</v>
      </c>
      <c r="AS736" s="3">
        <f>+(K736*10+L736*20)*12*30-900658.98</f>
        <v>677581.02</v>
      </c>
      <c r="AT736" s="6">
        <f t="shared" ref="AT736:AT750" si="195">+S736-AS736</f>
        <v>0</v>
      </c>
      <c r="AU736" s="6" t="e">
        <v>#REF!</v>
      </c>
      <c r="AV736" s="6" t="e">
        <v>#REF!</v>
      </c>
      <c r="AW736" s="62">
        <f t="shared" si="182"/>
        <v>1422083.61</v>
      </c>
      <c r="AX736" s="55"/>
      <c r="AY736" s="55"/>
      <c r="AZ736" s="55">
        <v>758098.38</v>
      </c>
      <c r="BA736" s="55">
        <v>627792.72</v>
      </c>
      <c r="BB736" s="55">
        <v>0</v>
      </c>
      <c r="BC736" s="55"/>
      <c r="BD736" s="55"/>
      <c r="BE736" s="55">
        <v>0</v>
      </c>
      <c r="BF736" s="55"/>
      <c r="BG736" s="55">
        <v>0</v>
      </c>
      <c r="BH736" s="55">
        <v>0</v>
      </c>
      <c r="BI736" s="55">
        <v>0</v>
      </c>
      <c r="BL736" s="64">
        <v>36192.51</v>
      </c>
      <c r="BM736" s="62">
        <f t="shared" si="183"/>
        <v>1422083.61</v>
      </c>
      <c r="BN736" s="55"/>
      <c r="BO736" s="55"/>
      <c r="BP736" s="55">
        <v>758098.38</v>
      </c>
      <c r="BQ736" s="55">
        <v>627792.72</v>
      </c>
      <c r="BR736" s="55">
        <v>0</v>
      </c>
      <c r="BS736" s="55"/>
      <c r="BT736" s="55"/>
      <c r="BU736" s="55">
        <v>0</v>
      </c>
      <c r="BV736" s="55"/>
      <c r="BW736" s="55">
        <v>0</v>
      </c>
      <c r="BX736" s="55">
        <v>0</v>
      </c>
      <c r="BY736" s="55">
        <v>0</v>
      </c>
      <c r="CB736" s="64">
        <v>36192.51</v>
      </c>
      <c r="CD736" s="75"/>
      <c r="CE736" s="6"/>
    </row>
    <row r="737" spans="1:83" x14ac:dyDescent="0.25">
      <c r="A737" s="105">
        <f t="shared" si="184"/>
        <v>715</v>
      </c>
      <c r="B737" s="106">
        <f t="shared" si="193"/>
        <v>255</v>
      </c>
      <c r="C737" s="107" t="s">
        <v>218</v>
      </c>
      <c r="D737" s="107" t="s">
        <v>402</v>
      </c>
      <c r="E737" s="128">
        <v>1972</v>
      </c>
      <c r="F737" s="128">
        <v>2013</v>
      </c>
      <c r="G737" s="128" t="s">
        <v>64</v>
      </c>
      <c r="H737" s="128">
        <v>4</v>
      </c>
      <c r="I737" s="128">
        <v>3</v>
      </c>
      <c r="J737" s="63">
        <v>1348.9</v>
      </c>
      <c r="K737" s="63">
        <v>1047.4000000000001</v>
      </c>
      <c r="L737" s="63">
        <v>182.5</v>
      </c>
      <c r="M737" s="129">
        <v>50</v>
      </c>
      <c r="N737" s="108">
        <v>2419751.56</v>
      </c>
      <c r="O737" s="63"/>
      <c r="P737" s="63"/>
      <c r="Q737" s="63"/>
      <c r="R737" s="63"/>
      <c r="S737" s="62">
        <v>2419751.56</v>
      </c>
      <c r="T737" s="63"/>
      <c r="U737" s="63">
        <v>2310.24590133422</v>
      </c>
      <c r="V737" s="63">
        <v>1362.2830200640001</v>
      </c>
      <c r="W737" s="59">
        <v>2024</v>
      </c>
      <c r="X737" s="6" t="e">
        <v>#REF!</v>
      </c>
      <c r="Z737" s="62">
        <f t="shared" si="194"/>
        <v>6001891.9499999993</v>
      </c>
      <c r="AA737" s="55">
        <v>0</v>
      </c>
      <c r="AB737" s="55">
        <v>0</v>
      </c>
      <c r="AC737" s="55">
        <v>1189999.01255088</v>
      </c>
      <c r="AD737" s="55">
        <v>0</v>
      </c>
      <c r="AE737" s="55">
        <v>0</v>
      </c>
      <c r="AF737" s="55"/>
      <c r="AG737" s="55">
        <v>0</v>
      </c>
      <c r="AH737" s="55">
        <v>0</v>
      </c>
      <c r="AI737" s="55">
        <v>0</v>
      </c>
      <c r="AJ737" s="55">
        <v>764864.79162030003</v>
      </c>
      <c r="AK737" s="55">
        <v>0</v>
      </c>
      <c r="AL737" s="55">
        <v>3272507.9972491199</v>
      </c>
      <c r="AM737" s="55">
        <v>600189.19499999995</v>
      </c>
      <c r="AN737" s="63">
        <v>60018.919500000004</v>
      </c>
      <c r="AO737" s="64">
        <v>114312.0340797</v>
      </c>
      <c r="AP737" s="61">
        <f>+N737-'Приложение №2'!E737</f>
        <v>2.9425402171909809E-3</v>
      </c>
      <c r="AQ737" s="65">
        <f>655483.31-R335</f>
        <v>230057.27035761403</v>
      </c>
      <c r="AR737" s="3">
        <f t="shared" ref="AR737:AR748" si="196">+(K737*10.5+L737*21)*12*0.85</f>
        <v>151268.04</v>
      </c>
      <c r="AS737" s="3">
        <f>+(K737*10.5+L737*21)*12*30-S335</f>
        <v>4920881.7809476359</v>
      </c>
      <c r="AT737" s="6">
        <f t="shared" si="195"/>
        <v>-2501130.2209476358</v>
      </c>
      <c r="AU737" s="6" t="e">
        <v>#REF!</v>
      </c>
      <c r="AV737" s="6" t="e">
        <v>#REF!</v>
      </c>
      <c r="AW737" s="110">
        <f t="shared" si="182"/>
        <v>2419751.5570574598</v>
      </c>
      <c r="AX737" s="55">
        <v>0</v>
      </c>
      <c r="AY737" s="55">
        <v>0</v>
      </c>
      <c r="AZ737" s="55">
        <v>1257942.74</v>
      </c>
      <c r="BA737" s="55">
        <v>0</v>
      </c>
      <c r="BB737" s="55">
        <v>0</v>
      </c>
      <c r="BC737" s="55"/>
      <c r="BD737" s="55"/>
      <c r="BE737" s="55">
        <v>0</v>
      </c>
      <c r="BF737" s="55">
        <v>0</v>
      </c>
      <c r="BG737" s="55">
        <v>1041448.45836271</v>
      </c>
      <c r="BH737" s="55">
        <v>0</v>
      </c>
      <c r="BI737" s="55"/>
      <c r="BJ737" s="55"/>
      <c r="BK737" s="63"/>
      <c r="BL737" s="64">
        <v>120360.35869475</v>
      </c>
      <c r="BM737" s="110">
        <f t="shared" si="183"/>
        <v>2419751.5570574598</v>
      </c>
      <c r="BN737" s="55">
        <v>0</v>
      </c>
      <c r="BO737" s="55">
        <v>0</v>
      </c>
      <c r="BP737" s="55">
        <v>1257942.74</v>
      </c>
      <c r="BQ737" s="55">
        <v>0</v>
      </c>
      <c r="BR737" s="55">
        <v>0</v>
      </c>
      <c r="BS737" s="55"/>
      <c r="BT737" s="55"/>
      <c r="BU737" s="55">
        <v>0</v>
      </c>
      <c r="BV737" s="55">
        <v>0</v>
      </c>
      <c r="BW737" s="55">
        <v>1041448.45836271</v>
      </c>
      <c r="BX737" s="55">
        <v>0</v>
      </c>
      <c r="BY737" s="55"/>
      <c r="BZ737" s="55"/>
      <c r="CA737" s="63"/>
      <c r="CB737" s="64">
        <v>120360.35869475</v>
      </c>
      <c r="CD737" s="75"/>
      <c r="CE737" s="6"/>
    </row>
    <row r="738" spans="1:83" x14ac:dyDescent="0.25">
      <c r="A738" s="105">
        <f t="shared" si="184"/>
        <v>716</v>
      </c>
      <c r="B738" s="106">
        <f t="shared" si="193"/>
        <v>256</v>
      </c>
      <c r="C738" s="107" t="s">
        <v>218</v>
      </c>
      <c r="D738" s="107" t="s">
        <v>682</v>
      </c>
      <c r="E738" s="128">
        <v>1972</v>
      </c>
      <c r="F738" s="128">
        <v>2013</v>
      </c>
      <c r="G738" s="128" t="s">
        <v>64</v>
      </c>
      <c r="H738" s="128">
        <v>4</v>
      </c>
      <c r="I738" s="128">
        <v>1</v>
      </c>
      <c r="J738" s="63">
        <v>1401</v>
      </c>
      <c r="K738" s="63">
        <v>1155.5999999999999</v>
      </c>
      <c r="L738" s="63">
        <v>81.099999999999994</v>
      </c>
      <c r="M738" s="129">
        <v>60</v>
      </c>
      <c r="N738" s="108">
        <v>6239399.46</v>
      </c>
      <c r="O738" s="63"/>
      <c r="P738" s="62">
        <v>666884.96</v>
      </c>
      <c r="Q738" s="63"/>
      <c r="R738" s="62">
        <v>778877.5</v>
      </c>
      <c r="S738" s="62">
        <v>4793637</v>
      </c>
      <c r="T738" s="63"/>
      <c r="U738" s="63">
        <v>5399.2726339057099</v>
      </c>
      <c r="V738" s="63">
        <v>1363.2830200640001</v>
      </c>
      <c r="W738" s="59">
        <v>2024</v>
      </c>
      <c r="X738" s="6" t="e">
        <v>#REF!</v>
      </c>
      <c r="Z738" s="62">
        <f t="shared" si="194"/>
        <v>6803706.830000001</v>
      </c>
      <c r="AA738" s="55">
        <v>0</v>
      </c>
      <c r="AB738" s="55">
        <v>0</v>
      </c>
      <c r="AC738" s="55">
        <v>1348975.3697015401</v>
      </c>
      <c r="AD738" s="55">
        <v>0</v>
      </c>
      <c r="AE738" s="55">
        <v>0</v>
      </c>
      <c r="AF738" s="55"/>
      <c r="AG738" s="55">
        <v>0</v>
      </c>
      <c r="AH738" s="55">
        <v>0</v>
      </c>
      <c r="AI738" s="55">
        <v>0</v>
      </c>
      <c r="AJ738" s="55">
        <v>867045.8987589</v>
      </c>
      <c r="AK738" s="55">
        <v>0</v>
      </c>
      <c r="AL738" s="55">
        <v>3709694.40995538</v>
      </c>
      <c r="AM738" s="55">
        <v>680370.68299999996</v>
      </c>
      <c r="AN738" s="63">
        <v>68037.068299999999</v>
      </c>
      <c r="AO738" s="64">
        <v>129583.40028418</v>
      </c>
      <c r="AP738" s="61">
        <f>+N738-'Приложение №2'!E738</f>
        <v>4.2585628107190132E-3</v>
      </c>
      <c r="AQ738" s="65">
        <v>637741.12</v>
      </c>
      <c r="AR738" s="3">
        <f t="shared" si="196"/>
        <v>141136.37999999998</v>
      </c>
      <c r="AS738" s="3">
        <f>+(K738*10.5+L738*21)*12*30</f>
        <v>4981284</v>
      </c>
      <c r="AT738" s="6">
        <f t="shared" si="195"/>
        <v>-187647</v>
      </c>
      <c r="AU738" s="6" t="e">
        <v>#REF!</v>
      </c>
      <c r="AV738" s="6" t="e">
        <v>#REF!</v>
      </c>
      <c r="AW738" s="110">
        <f t="shared" ref="AW738:AW801" si="197">SUBTOTAL(9, AX738:BL738)</f>
        <v>6239399.4557414372</v>
      </c>
      <c r="AX738" s="55">
        <v>0</v>
      </c>
      <c r="AY738" s="55">
        <v>0</v>
      </c>
      <c r="AZ738" s="55">
        <v>1348975.3697015401</v>
      </c>
      <c r="BA738" s="55">
        <v>0</v>
      </c>
      <c r="BB738" s="55">
        <v>0</v>
      </c>
      <c r="BC738" s="55"/>
      <c r="BD738" s="55"/>
      <c r="BE738" s="55">
        <v>0</v>
      </c>
      <c r="BF738" s="55">
        <v>0</v>
      </c>
      <c r="BG738" s="55">
        <v>1047206.52773165</v>
      </c>
      <c r="BH738" s="55">
        <v>0</v>
      </c>
      <c r="BI738" s="55">
        <v>3709694.40995538</v>
      </c>
      <c r="BJ738" s="55"/>
      <c r="BK738" s="63"/>
      <c r="BL738" s="64">
        <v>133523.14835286699</v>
      </c>
      <c r="BM738" s="110">
        <f t="shared" ref="BM738:BM801" si="198">SUBTOTAL(9, BN738:CB738)</f>
        <v>6239399.4557414372</v>
      </c>
      <c r="BN738" s="55">
        <v>0</v>
      </c>
      <c r="BO738" s="55">
        <v>0</v>
      </c>
      <c r="BP738" s="55">
        <v>1348975.3697015401</v>
      </c>
      <c r="BQ738" s="55">
        <v>0</v>
      </c>
      <c r="BR738" s="55">
        <v>0</v>
      </c>
      <c r="BS738" s="55"/>
      <c r="BT738" s="55"/>
      <c r="BU738" s="55">
        <v>0</v>
      </c>
      <c r="BV738" s="55">
        <v>0</v>
      </c>
      <c r="BW738" s="55">
        <v>1047206.52773165</v>
      </c>
      <c r="BX738" s="55">
        <v>0</v>
      </c>
      <c r="BY738" s="55">
        <v>3709694.40995538</v>
      </c>
      <c r="BZ738" s="55"/>
      <c r="CA738" s="63"/>
      <c r="CB738" s="64">
        <v>133523.14835286699</v>
      </c>
      <c r="CD738" s="75"/>
      <c r="CE738" s="6"/>
    </row>
    <row r="739" spans="1:83" x14ac:dyDescent="0.25">
      <c r="A739" s="105">
        <f t="shared" ref="A739:A802" si="199">+A738+1</f>
        <v>717</v>
      </c>
      <c r="B739" s="106">
        <f t="shared" si="193"/>
        <v>257</v>
      </c>
      <c r="C739" s="107" t="s">
        <v>218</v>
      </c>
      <c r="D739" s="107" t="s">
        <v>220</v>
      </c>
      <c r="E739" s="128">
        <v>1973</v>
      </c>
      <c r="F739" s="128">
        <v>1973</v>
      </c>
      <c r="G739" s="128" t="s">
        <v>64</v>
      </c>
      <c r="H739" s="128">
        <v>4</v>
      </c>
      <c r="I739" s="128">
        <v>3</v>
      </c>
      <c r="J739" s="63">
        <v>1399</v>
      </c>
      <c r="K739" s="63">
        <v>1081.5999999999999</v>
      </c>
      <c r="L739" s="63">
        <v>197.9</v>
      </c>
      <c r="M739" s="129">
        <v>41</v>
      </c>
      <c r="N739" s="108">
        <v>1760606.33</v>
      </c>
      <c r="O739" s="63"/>
      <c r="P739" s="63"/>
      <c r="Q739" s="63"/>
      <c r="R739" s="62">
        <v>402664.44</v>
      </c>
      <c r="S739" s="62">
        <v>1357941.89</v>
      </c>
      <c r="T739" s="63"/>
      <c r="U739" s="63">
        <v>1627.7795214497</v>
      </c>
      <c r="V739" s="63">
        <v>1361.2830200640001</v>
      </c>
      <c r="W739" s="59">
        <v>2024</v>
      </c>
      <c r="X739" s="6" t="e">
        <v>#REF!</v>
      </c>
      <c r="Z739" s="62">
        <f t="shared" si="194"/>
        <v>7079219.7999999998</v>
      </c>
      <c r="AA739" s="55">
        <v>3593692.2573879599</v>
      </c>
      <c r="AB739" s="55">
        <v>1296470.75263692</v>
      </c>
      <c r="AC739" s="55">
        <v>1354494.0390794401</v>
      </c>
      <c r="AD739" s="55">
        <v>0</v>
      </c>
      <c r="AE739" s="55">
        <v>0</v>
      </c>
      <c r="AF739" s="55"/>
      <c r="AG739" s="55">
        <v>0</v>
      </c>
      <c r="AH739" s="55">
        <v>0</v>
      </c>
      <c r="AI739" s="55">
        <v>0</v>
      </c>
      <c r="AJ739" s="55">
        <v>0</v>
      </c>
      <c r="AK739" s="55">
        <v>0</v>
      </c>
      <c r="AL739" s="55">
        <v>0</v>
      </c>
      <c r="AM739" s="55">
        <v>627212.55079999997</v>
      </c>
      <c r="AN739" s="63">
        <v>70792.198000000004</v>
      </c>
      <c r="AO739" s="64">
        <v>136558.00209568001</v>
      </c>
      <c r="AP739" s="61">
        <f>+N739-'Приложение №2'!E739</f>
        <v>-3.9999978616833687E-4</v>
      </c>
      <c r="AQ739" s="6">
        <f>569860.72-R149</f>
        <v>244434.89999999997</v>
      </c>
      <c r="AR739" s="3">
        <f t="shared" si="196"/>
        <v>158229.54</v>
      </c>
      <c r="AS739" s="3">
        <f>+(K739*10.5+L739*21)*12*30-S149</f>
        <v>3828969.6700000009</v>
      </c>
      <c r="AT739" s="6">
        <f t="shared" si="195"/>
        <v>-2471027.7800000012</v>
      </c>
      <c r="AU739" s="6" t="e">
        <v>#REF!</v>
      </c>
      <c r="AV739" s="6" t="e">
        <v>#REF!</v>
      </c>
      <c r="AW739" s="110">
        <f t="shared" si="197"/>
        <v>1760606.3303999999</v>
      </c>
      <c r="AX739" s="55"/>
      <c r="AY739" s="55"/>
      <c r="AZ739" s="55">
        <v>1722929.35492944</v>
      </c>
      <c r="BA739" s="55">
        <v>0</v>
      </c>
      <c r="BB739" s="55">
        <v>0</v>
      </c>
      <c r="BC739" s="55"/>
      <c r="BD739" s="55"/>
      <c r="BE739" s="55">
        <v>0</v>
      </c>
      <c r="BF739" s="55">
        <v>0</v>
      </c>
      <c r="BG739" s="55">
        <v>0</v>
      </c>
      <c r="BH739" s="55">
        <v>0</v>
      </c>
      <c r="BI739" s="55">
        <v>0</v>
      </c>
      <c r="BJ739" s="55"/>
      <c r="BK739" s="63"/>
      <c r="BL739" s="64">
        <v>37676.975470559999</v>
      </c>
      <c r="BM739" s="110">
        <f t="shared" si="198"/>
        <v>1760606.3303999999</v>
      </c>
      <c r="BN739" s="55"/>
      <c r="BO739" s="55"/>
      <c r="BP739" s="55">
        <v>1722929.35492944</v>
      </c>
      <c r="BQ739" s="55">
        <v>0</v>
      </c>
      <c r="BR739" s="55">
        <v>0</v>
      </c>
      <c r="BS739" s="55"/>
      <c r="BT739" s="55"/>
      <c r="BU739" s="55">
        <v>0</v>
      </c>
      <c r="BV739" s="55">
        <v>0</v>
      </c>
      <c r="BW739" s="55">
        <v>0</v>
      </c>
      <c r="BX739" s="55">
        <v>0</v>
      </c>
      <c r="BY739" s="55">
        <v>0</v>
      </c>
      <c r="BZ739" s="55"/>
      <c r="CA739" s="63"/>
      <c r="CB739" s="64">
        <v>37676.975470559999</v>
      </c>
      <c r="CD739" s="75"/>
      <c r="CE739" s="6"/>
    </row>
    <row r="740" spans="1:83" x14ac:dyDescent="0.25">
      <c r="A740" s="105">
        <f t="shared" si="199"/>
        <v>718</v>
      </c>
      <c r="B740" s="106">
        <f t="shared" si="193"/>
        <v>258</v>
      </c>
      <c r="C740" s="107" t="s">
        <v>218</v>
      </c>
      <c r="D740" s="107" t="s">
        <v>405</v>
      </c>
      <c r="E740" s="128">
        <v>1970</v>
      </c>
      <c r="F740" s="128">
        <v>1970</v>
      </c>
      <c r="G740" s="128" t="s">
        <v>64</v>
      </c>
      <c r="H740" s="128">
        <v>4</v>
      </c>
      <c r="I740" s="128">
        <v>1</v>
      </c>
      <c r="J740" s="63">
        <v>1343.6</v>
      </c>
      <c r="K740" s="63">
        <v>929.1</v>
      </c>
      <c r="L740" s="63">
        <v>317.89999999999998</v>
      </c>
      <c r="M740" s="129">
        <v>43</v>
      </c>
      <c r="N740" s="108">
        <v>1422052.03</v>
      </c>
      <c r="O740" s="63"/>
      <c r="P740" s="62">
        <v>1237691.1599999999</v>
      </c>
      <c r="Q740" s="63"/>
      <c r="R740" s="62">
        <v>184360.87</v>
      </c>
      <c r="S740" s="63"/>
      <c r="T740" s="63">
        <v>0</v>
      </c>
      <c r="U740" s="63">
        <v>1530.5694007792799</v>
      </c>
      <c r="V740" s="63">
        <v>1364.2830200640001</v>
      </c>
      <c r="W740" s="59">
        <v>2024</v>
      </c>
      <c r="X740" s="6" t="e">
        <v>#REF!</v>
      </c>
      <c r="Z740" s="62">
        <f t="shared" si="194"/>
        <v>19642322.440000001</v>
      </c>
      <c r="AA740" s="55">
        <v>2821780.5180419399</v>
      </c>
      <c r="AB740" s="55">
        <v>1017993.6538753801</v>
      </c>
      <c r="AC740" s="55">
        <v>1063553.7540591599</v>
      </c>
      <c r="AD740" s="55">
        <v>665875.47655356</v>
      </c>
      <c r="AE740" s="55">
        <v>0</v>
      </c>
      <c r="AF740" s="55"/>
      <c r="AG740" s="55">
        <v>101809.49181312</v>
      </c>
      <c r="AH740" s="55">
        <v>0</v>
      </c>
      <c r="AI740" s="55">
        <v>5222681.4190824004</v>
      </c>
      <c r="AJ740" s="55">
        <v>683592.85135050002</v>
      </c>
      <c r="AK740" s="55">
        <v>2711658.3273179401</v>
      </c>
      <c r="AL740" s="55">
        <v>2924782.39109238</v>
      </c>
      <c r="AM740" s="55">
        <v>1855741.9672999999</v>
      </c>
      <c r="AN740" s="63">
        <v>196423.22440000001</v>
      </c>
      <c r="AO740" s="64">
        <v>376429.36511362001</v>
      </c>
      <c r="AP740" s="61">
        <f>+N740-'Приложение №2'!E740</f>
        <v>-2.6402971707284451E-4</v>
      </c>
      <c r="AQ740" s="65">
        <f>805595.46-R338</f>
        <v>-167600.79000000004</v>
      </c>
      <c r="AR740" s="3">
        <f t="shared" si="196"/>
        <v>167600.79</v>
      </c>
      <c r="AS740" s="3">
        <f>+(K740*10.5+L740*21)*12*30-S338</f>
        <v>115576.72380977124</v>
      </c>
      <c r="AT740" s="6">
        <f t="shared" si="195"/>
        <v>-115576.72380977124</v>
      </c>
      <c r="AU740" s="6" t="e">
        <v>#REF!</v>
      </c>
      <c r="AV740" s="6" t="e">
        <v>#REF!</v>
      </c>
      <c r="AW740" s="110">
        <f t="shared" si="197"/>
        <v>1422052.0302640297</v>
      </c>
      <c r="AX740" s="55"/>
      <c r="AY740" s="55"/>
      <c r="AZ740" s="55"/>
      <c r="BA740" s="55"/>
      <c r="BB740" s="55">
        <v>0</v>
      </c>
      <c r="BC740" s="55"/>
      <c r="BD740" s="55"/>
      <c r="BE740" s="55"/>
      <c r="BF740" s="55"/>
      <c r="BG740" s="55">
        <v>1055928.3092757899</v>
      </c>
      <c r="BH740" s="55">
        <v>0</v>
      </c>
      <c r="BI740" s="55"/>
      <c r="BJ740" s="55"/>
      <c r="BK740" s="63"/>
      <c r="BL740" s="64">
        <v>366123.72098823998</v>
      </c>
      <c r="BM740" s="110">
        <f t="shared" si="198"/>
        <v>1422052.0302640297</v>
      </c>
      <c r="BN740" s="55"/>
      <c r="BO740" s="55"/>
      <c r="BP740" s="55"/>
      <c r="BQ740" s="55"/>
      <c r="BR740" s="55">
        <v>0</v>
      </c>
      <c r="BS740" s="55"/>
      <c r="BT740" s="55"/>
      <c r="BU740" s="55"/>
      <c r="BV740" s="55"/>
      <c r="BW740" s="55">
        <v>1055928.3092757899</v>
      </c>
      <c r="BX740" s="55">
        <v>0</v>
      </c>
      <c r="BY740" s="55"/>
      <c r="BZ740" s="55"/>
      <c r="CA740" s="63"/>
      <c r="CB740" s="64">
        <v>366123.72098823998</v>
      </c>
      <c r="CD740" s="75"/>
      <c r="CE740" s="179"/>
    </row>
    <row r="741" spans="1:83" x14ac:dyDescent="0.25">
      <c r="A741" s="105">
        <f t="shared" si="199"/>
        <v>719</v>
      </c>
      <c r="B741" s="106">
        <f t="shared" si="193"/>
        <v>259</v>
      </c>
      <c r="C741" s="53" t="s">
        <v>218</v>
      </c>
      <c r="D741" s="53" t="s">
        <v>406</v>
      </c>
      <c r="E741" s="54">
        <v>1975</v>
      </c>
      <c r="F741" s="54">
        <v>1975</v>
      </c>
      <c r="G741" s="54" t="s">
        <v>64</v>
      </c>
      <c r="H741" s="54">
        <v>5</v>
      </c>
      <c r="I741" s="54">
        <v>5</v>
      </c>
      <c r="J741" s="55">
        <v>3670.4</v>
      </c>
      <c r="K741" s="55">
        <v>2958</v>
      </c>
      <c r="L741" s="55">
        <v>417.2</v>
      </c>
      <c r="M741" s="56">
        <v>116</v>
      </c>
      <c r="N741" s="112">
        <v>20530684.390000001</v>
      </c>
      <c r="O741" s="55"/>
      <c r="P741" s="63"/>
      <c r="Q741" s="63"/>
      <c r="R741" s="62">
        <v>1023193.59</v>
      </c>
      <c r="S741" s="62">
        <v>7162355.1399999997</v>
      </c>
      <c r="T741" s="62">
        <v>12345135.66</v>
      </c>
      <c r="U741" s="63">
        <v>17616.2217731655</v>
      </c>
      <c r="V741" s="63">
        <v>1375.2830200640001</v>
      </c>
      <c r="W741" s="59">
        <v>2024</v>
      </c>
      <c r="X741" s="6" t="e">
        <v>#REF!</v>
      </c>
      <c r="Z741" s="62">
        <f t="shared" si="194"/>
        <v>63008068.420000002</v>
      </c>
      <c r="AA741" s="55">
        <v>10289263.558588</v>
      </c>
      <c r="AB741" s="55">
        <v>3743156.0614419999</v>
      </c>
      <c r="AC741" s="55">
        <v>3946478.5112620001</v>
      </c>
      <c r="AD741" s="55">
        <v>2525477.5150359999</v>
      </c>
      <c r="AE741" s="55">
        <v>0</v>
      </c>
      <c r="AF741" s="55"/>
      <c r="AG741" s="55">
        <v>347116.72035600001</v>
      </c>
      <c r="AH741" s="55">
        <v>0</v>
      </c>
      <c r="AI741" s="55">
        <v>19311206.205424</v>
      </c>
      <c r="AJ741" s="55">
        <v>0</v>
      </c>
      <c r="AK741" s="55">
        <v>10034931.104254</v>
      </c>
      <c r="AL741" s="55">
        <v>10831078.675998</v>
      </c>
      <c r="AM741" s="55">
        <v>572156.81999999995</v>
      </c>
      <c r="AN741" s="55">
        <v>72629</v>
      </c>
      <c r="AO741" s="64">
        <v>1334574.24764</v>
      </c>
      <c r="AP741" s="61">
        <f>+N741-'Приложение №2'!E740</f>
        <v>19108632.359735969</v>
      </c>
      <c r="AQ741" s="65">
        <v>1791489.77</v>
      </c>
      <c r="AR741" s="3">
        <f t="shared" si="196"/>
        <v>406166.04</v>
      </c>
      <c r="AS741" s="3">
        <f>+(K741*10.5+L741*21)*12*30</f>
        <v>14335271.999999998</v>
      </c>
      <c r="AT741" s="6">
        <f t="shared" si="195"/>
        <v>-7172916.8599999985</v>
      </c>
      <c r="AU741" s="6" t="e">
        <v>#REF!</v>
      </c>
      <c r="AV741" s="6" t="e">
        <v>#REF!</v>
      </c>
      <c r="AW741" s="110">
        <f t="shared" si="197"/>
        <v>52108784.005023412</v>
      </c>
      <c r="AX741" s="55">
        <v>10289258.887333</v>
      </c>
      <c r="AY741" s="55">
        <v>3743163.2397435</v>
      </c>
      <c r="AZ741" s="55">
        <v>3946494.7367781801</v>
      </c>
      <c r="BA741" s="55">
        <v>2525483.2241929299</v>
      </c>
      <c r="BB741" s="55">
        <v>0</v>
      </c>
      <c r="BC741" s="55"/>
      <c r="BD741" s="55">
        <v>347129.27930819202</v>
      </c>
      <c r="BE741" s="55">
        <v>0</v>
      </c>
      <c r="BF741" s="55">
        <v>19311208.020552099</v>
      </c>
      <c r="BG741" s="55">
        <v>0</v>
      </c>
      <c r="BH741" s="55"/>
      <c r="BI741" s="55">
        <v>10831087.386440501</v>
      </c>
      <c r="BJ741" s="55"/>
      <c r="BK741" s="55"/>
      <c r="BL741" s="111">
        <v>1114959.23067501</v>
      </c>
      <c r="BM741" s="110">
        <f t="shared" si="198"/>
        <v>52108784.005023412</v>
      </c>
      <c r="BN741" s="55">
        <v>10289258.887333</v>
      </c>
      <c r="BO741" s="55">
        <v>3743163.2397435</v>
      </c>
      <c r="BP741" s="55">
        <v>3946494.7367781801</v>
      </c>
      <c r="BQ741" s="55">
        <v>2525483.2241929299</v>
      </c>
      <c r="BR741" s="55">
        <v>0</v>
      </c>
      <c r="BS741" s="55"/>
      <c r="BT741" s="55">
        <v>347129.27930819202</v>
      </c>
      <c r="BU741" s="55">
        <v>0</v>
      </c>
      <c r="BV741" s="55">
        <v>19311208.020552099</v>
      </c>
      <c r="BW741" s="55">
        <v>0</v>
      </c>
      <c r="BX741" s="55"/>
      <c r="BY741" s="55">
        <v>10831087.386440501</v>
      </c>
      <c r="BZ741" s="55"/>
      <c r="CA741" s="55"/>
      <c r="CB741" s="64">
        <v>1114959.23067501</v>
      </c>
      <c r="CD741" s="75"/>
      <c r="CE741" s="6"/>
    </row>
    <row r="742" spans="1:83" x14ac:dyDescent="0.25">
      <c r="A742" s="105">
        <f t="shared" si="199"/>
        <v>720</v>
      </c>
      <c r="B742" s="106">
        <f t="shared" si="193"/>
        <v>260</v>
      </c>
      <c r="C742" s="107" t="s">
        <v>218</v>
      </c>
      <c r="D742" s="107" t="s">
        <v>221</v>
      </c>
      <c r="E742" s="128">
        <v>1969</v>
      </c>
      <c r="F742" s="128">
        <v>1969</v>
      </c>
      <c r="G742" s="128" t="s">
        <v>64</v>
      </c>
      <c r="H742" s="128">
        <v>4</v>
      </c>
      <c r="I742" s="128">
        <v>4</v>
      </c>
      <c r="J742" s="63">
        <v>1301.0999999999999</v>
      </c>
      <c r="K742" s="63">
        <v>1206.0999999999999</v>
      </c>
      <c r="L742" s="63">
        <v>0</v>
      </c>
      <c r="M742" s="129">
        <v>55</v>
      </c>
      <c r="N742" s="108">
        <v>11246166.060000001</v>
      </c>
      <c r="O742" s="63"/>
      <c r="P742" s="62">
        <v>1920678.67</v>
      </c>
      <c r="Q742" s="63"/>
      <c r="R742" s="62">
        <v>129173.31</v>
      </c>
      <c r="S742" s="62">
        <v>2964843.42</v>
      </c>
      <c r="T742" s="62">
        <v>6231470.6600000001</v>
      </c>
      <c r="U742" s="63">
        <v>6767.5078687261102</v>
      </c>
      <c r="V742" s="63">
        <v>1365.2830200640001</v>
      </c>
      <c r="W742" s="59">
        <v>2024</v>
      </c>
      <c r="X742" s="6" t="e">
        <v>#REF!</v>
      </c>
      <c r="Z742" s="62">
        <f t="shared" si="194"/>
        <v>20711430.510000002</v>
      </c>
      <c r="AA742" s="55">
        <v>3099206.3677902599</v>
      </c>
      <c r="AB742" s="55">
        <v>1118078.6011840201</v>
      </c>
      <c r="AC742" s="55">
        <v>1168117.9829516399</v>
      </c>
      <c r="AD742" s="55">
        <v>731341.61352924001</v>
      </c>
      <c r="AE742" s="55">
        <v>0</v>
      </c>
      <c r="AF742" s="55"/>
      <c r="AG742" s="55">
        <v>111818.98213248</v>
      </c>
      <c r="AH742" s="55">
        <v>0</v>
      </c>
      <c r="AI742" s="55">
        <v>5736153.9664295996</v>
      </c>
      <c r="AJ742" s="55">
        <v>0</v>
      </c>
      <c r="AK742" s="55">
        <v>2978257.4163942598</v>
      </c>
      <c r="AL742" s="55">
        <v>3212334.9611770199</v>
      </c>
      <c r="AM742" s="55">
        <v>1951986.4567</v>
      </c>
      <c r="AN742" s="63">
        <v>207114.3051</v>
      </c>
      <c r="AO742" s="64">
        <v>397019.85661148001</v>
      </c>
      <c r="AP742" s="61">
        <f>+N742-'Приложение №2'!E742</f>
        <v>4.5022927224636078E-3</v>
      </c>
      <c r="AQ742" s="6" t="e">
        <f>624368.58-R150-#REF!</f>
        <v>#REF!</v>
      </c>
      <c r="AR742" s="3">
        <f t="shared" si="196"/>
        <v>129173.30999999998</v>
      </c>
      <c r="AS742" s="3" t="e">
        <f>+(K742*10.5+L742*21)*12*30-S150-#REF!</f>
        <v>#REF!</v>
      </c>
      <c r="AT742" s="6" t="e">
        <f t="shared" si="195"/>
        <v>#REF!</v>
      </c>
      <c r="AU742" s="6" t="e">
        <v>#REF!</v>
      </c>
      <c r="AV742" s="6" t="e">
        <v>#REF!</v>
      </c>
      <c r="AW742" s="110">
        <f t="shared" si="197"/>
        <v>8162291.2404705603</v>
      </c>
      <c r="AX742" s="55"/>
      <c r="AY742" s="55"/>
      <c r="AZ742" s="55">
        <v>1168117.9829516399</v>
      </c>
      <c r="BA742" s="55"/>
      <c r="BB742" s="55"/>
      <c r="BC742" s="55"/>
      <c r="BD742" s="55"/>
      <c r="BE742" s="55">
        <v>0</v>
      </c>
      <c r="BF742" s="55">
        <v>6819500.2249728497</v>
      </c>
      <c r="BG742" s="55">
        <v>0</v>
      </c>
      <c r="BH742" s="55"/>
      <c r="BI742" s="55"/>
      <c r="BJ742" s="55"/>
      <c r="BK742" s="63"/>
      <c r="BL742" s="64">
        <v>174673.03254607</v>
      </c>
      <c r="BM742" s="110">
        <f t="shared" si="198"/>
        <v>8162291.2404705603</v>
      </c>
      <c r="BN742" s="55"/>
      <c r="BO742" s="55"/>
      <c r="BP742" s="55">
        <v>1168117.9829516399</v>
      </c>
      <c r="BQ742" s="55"/>
      <c r="BR742" s="55"/>
      <c r="BS742" s="55"/>
      <c r="BT742" s="55"/>
      <c r="BU742" s="55">
        <v>0</v>
      </c>
      <c r="BV742" s="55">
        <v>6819500.2249728497</v>
      </c>
      <c r="BW742" s="55">
        <v>0</v>
      </c>
      <c r="BX742" s="55"/>
      <c r="BY742" s="55"/>
      <c r="BZ742" s="55"/>
      <c r="CA742" s="63"/>
      <c r="CB742" s="64">
        <v>174673.03254607</v>
      </c>
      <c r="CD742" s="75"/>
      <c r="CE742" s="6"/>
    </row>
    <row r="743" spans="1:83" x14ac:dyDescent="0.25">
      <c r="A743" s="105">
        <f t="shared" si="199"/>
        <v>721</v>
      </c>
      <c r="B743" s="106">
        <f t="shared" si="193"/>
        <v>261</v>
      </c>
      <c r="C743" s="107" t="s">
        <v>218</v>
      </c>
      <c r="D743" s="107" t="s">
        <v>409</v>
      </c>
      <c r="E743" s="128">
        <v>1970</v>
      </c>
      <c r="F743" s="128">
        <v>1970</v>
      </c>
      <c r="G743" s="128" t="s">
        <v>64</v>
      </c>
      <c r="H743" s="128">
        <v>4</v>
      </c>
      <c r="I743" s="128">
        <v>4</v>
      </c>
      <c r="J743" s="63">
        <v>1365.1</v>
      </c>
      <c r="K743" s="63">
        <v>1195.1600000000001</v>
      </c>
      <c r="L743" s="63">
        <v>66.400000000000006</v>
      </c>
      <c r="M743" s="129">
        <v>42</v>
      </c>
      <c r="N743" s="108">
        <v>6552225.7999999998</v>
      </c>
      <c r="O743" s="63"/>
      <c r="P743" s="62">
        <v>1460525.39</v>
      </c>
      <c r="Q743" s="63"/>
      <c r="R743" s="62">
        <v>142224.51999999999</v>
      </c>
      <c r="S743" s="62">
        <v>103510.89</v>
      </c>
      <c r="T743" s="62">
        <v>4845965</v>
      </c>
      <c r="U743" s="63">
        <v>5482.3001045112296</v>
      </c>
      <c r="V743" s="63">
        <v>1366.2830200640001</v>
      </c>
      <c r="W743" s="59">
        <v>2024</v>
      </c>
      <c r="X743" s="6" t="e">
        <v>#REF!</v>
      </c>
      <c r="Z743" s="62">
        <f t="shared" si="194"/>
        <v>20539765.109999999</v>
      </c>
      <c r="AA743" s="55">
        <v>3073518.7891098601</v>
      </c>
      <c r="AB743" s="55">
        <v>1108811.4764332201</v>
      </c>
      <c r="AC743" s="55">
        <v>1158436.1099060399</v>
      </c>
      <c r="AD743" s="55">
        <v>725279.93417964003</v>
      </c>
      <c r="AE743" s="55">
        <v>0</v>
      </c>
      <c r="AF743" s="55"/>
      <c r="AG743" s="55">
        <v>110892.17747328</v>
      </c>
      <c r="AH743" s="55">
        <v>0</v>
      </c>
      <c r="AI743" s="55">
        <v>5688610.2120455997</v>
      </c>
      <c r="AJ743" s="55">
        <v>0</v>
      </c>
      <c r="AK743" s="55">
        <v>2953572.3155538598</v>
      </c>
      <c r="AL743" s="55">
        <v>3185709.7232062202</v>
      </c>
      <c r="AM743" s="55">
        <v>1935807.5386999999</v>
      </c>
      <c r="AN743" s="63">
        <v>205397.65109999999</v>
      </c>
      <c r="AO743" s="64">
        <v>393729.18229228002</v>
      </c>
      <c r="AP743" s="61">
        <f>+N743-'Приложение №2'!E743</f>
        <v>7.0923613384366035E-3</v>
      </c>
      <c r="AQ743" s="6">
        <f>578197.03-161435.17-R341</f>
        <v>-142224.51600000006</v>
      </c>
      <c r="AR743" s="3">
        <f t="shared" si="196"/>
        <v>142224.516</v>
      </c>
      <c r="AS743" s="3">
        <f>+(K743*10.5+L743*21)*12*30-1010645.26-S341</f>
        <v>278232.28047168022</v>
      </c>
      <c r="AT743" s="6">
        <f t="shared" si="195"/>
        <v>-174721.39047168021</v>
      </c>
      <c r="AU743" s="6" t="e">
        <v>#REF!</v>
      </c>
      <c r="AV743" s="6" t="e">
        <v>#REF!</v>
      </c>
      <c r="AW743" s="110">
        <f t="shared" si="197"/>
        <v>5359717.1490907781</v>
      </c>
      <c r="AX743" s="55">
        <v>3853954.6561831399</v>
      </c>
      <c r="AY743" s="55"/>
      <c r="AZ743" s="55">
        <v>1158436.1099060399</v>
      </c>
      <c r="BA743" s="55"/>
      <c r="BB743" s="55">
        <v>0</v>
      </c>
      <c r="BC743" s="55"/>
      <c r="BD743" s="55">
        <v>110892.17747328</v>
      </c>
      <c r="BE743" s="55">
        <v>0</v>
      </c>
      <c r="BF743" s="55"/>
      <c r="BG743" s="55">
        <v>0</v>
      </c>
      <c r="BH743" s="55"/>
      <c r="BI743" s="55"/>
      <c r="BJ743" s="55"/>
      <c r="BK743" s="63"/>
      <c r="BL743" s="64">
        <v>236434.205528319</v>
      </c>
      <c r="BM743" s="110">
        <f t="shared" si="198"/>
        <v>6552225.7929076385</v>
      </c>
      <c r="BN743" s="55">
        <v>5046463.3</v>
      </c>
      <c r="BO743" s="55"/>
      <c r="BP743" s="55">
        <v>1158436.1099060399</v>
      </c>
      <c r="BQ743" s="55"/>
      <c r="BR743" s="55">
        <v>0</v>
      </c>
      <c r="BS743" s="55"/>
      <c r="BT743" s="55">
        <v>110892.17747328</v>
      </c>
      <c r="BU743" s="55">
        <v>0</v>
      </c>
      <c r="BV743" s="55"/>
      <c r="BW743" s="55">
        <v>0</v>
      </c>
      <c r="BX743" s="55"/>
      <c r="BY743" s="55"/>
      <c r="BZ743" s="55"/>
      <c r="CA743" s="63"/>
      <c r="CB743" s="64">
        <v>236434.205528319</v>
      </c>
      <c r="CD743" s="75"/>
      <c r="CE743" s="6"/>
    </row>
    <row r="744" spans="1:83" x14ac:dyDescent="0.25">
      <c r="A744" s="105">
        <f t="shared" si="199"/>
        <v>722</v>
      </c>
      <c r="B744" s="106">
        <f t="shared" si="193"/>
        <v>262</v>
      </c>
      <c r="C744" s="107" t="s">
        <v>218</v>
      </c>
      <c r="D744" s="107" t="s">
        <v>410</v>
      </c>
      <c r="E744" s="128">
        <v>1965</v>
      </c>
      <c r="F744" s="128">
        <v>1965</v>
      </c>
      <c r="G744" s="128" t="s">
        <v>64</v>
      </c>
      <c r="H744" s="128">
        <v>3</v>
      </c>
      <c r="I744" s="128">
        <v>2</v>
      </c>
      <c r="J744" s="63">
        <v>987.3</v>
      </c>
      <c r="K744" s="63">
        <v>918.1</v>
      </c>
      <c r="L744" s="63">
        <v>68.099999999999994</v>
      </c>
      <c r="M744" s="129">
        <v>38</v>
      </c>
      <c r="N744" s="108">
        <v>17506318.57</v>
      </c>
      <c r="O744" s="63"/>
      <c r="P744" s="62">
        <v>1207579.73</v>
      </c>
      <c r="Q744" s="63"/>
      <c r="R744" s="62">
        <v>226640.2</v>
      </c>
      <c r="S744" s="62">
        <v>1901339.1</v>
      </c>
      <c r="T744" s="62">
        <v>14170759.539999999</v>
      </c>
      <c r="U744" s="63">
        <v>9623.1242732556402</v>
      </c>
      <c r="V744" s="63">
        <v>1367.2830200640001</v>
      </c>
      <c r="W744" s="59">
        <v>2024</v>
      </c>
      <c r="X744" s="6" t="e">
        <v>#REF!</v>
      </c>
      <c r="Z744" s="62">
        <f t="shared" si="194"/>
        <v>36579168.819999993</v>
      </c>
      <c r="AA744" s="55">
        <v>3296586.4242183599</v>
      </c>
      <c r="AB744" s="55">
        <v>2005923.7262883</v>
      </c>
      <c r="AC744" s="55">
        <v>945220.05597012001</v>
      </c>
      <c r="AD744" s="55">
        <v>805515.18886355998</v>
      </c>
      <c r="AE744" s="55">
        <v>0</v>
      </c>
      <c r="AF744" s="55"/>
      <c r="AG744" s="55">
        <v>312478.894455</v>
      </c>
      <c r="AH744" s="55">
        <v>0</v>
      </c>
      <c r="AI744" s="55">
        <v>9536457.4951715991</v>
      </c>
      <c r="AJ744" s="55">
        <v>0</v>
      </c>
      <c r="AK744" s="55">
        <v>7797629.0571874799</v>
      </c>
      <c r="AL744" s="55">
        <v>7337973.3202931397</v>
      </c>
      <c r="AM744" s="55">
        <v>3474991.5172000001</v>
      </c>
      <c r="AN744" s="63">
        <v>365791.68819999998</v>
      </c>
      <c r="AO744" s="64">
        <v>700601.45215243998</v>
      </c>
      <c r="AP744" s="61">
        <f>+N744-'Приложение №2'!E744</f>
        <v>-4.9199908971786499E-4</v>
      </c>
      <c r="AQ744" s="65">
        <f>403863.49-R342</f>
        <v>-112915.53000000003</v>
      </c>
      <c r="AR744" s="3">
        <f t="shared" si="196"/>
        <v>112915.53000000001</v>
      </c>
      <c r="AS744" s="3">
        <f>+(K744*10.5+L744*21)*12*30-S342</f>
        <v>1247280.4641190004</v>
      </c>
      <c r="AT744" s="6">
        <f t="shared" si="195"/>
        <v>654058.63588099973</v>
      </c>
      <c r="AU744" s="6" t="e">
        <v>#REF!</v>
      </c>
      <c r="AV744" s="6" t="e">
        <v>#REF!</v>
      </c>
      <c r="AW744" s="110">
        <f t="shared" si="197"/>
        <v>8834990.3952760007</v>
      </c>
      <c r="AX744" s="55">
        <v>3583619.264736</v>
      </c>
      <c r="AY744" s="55">
        <v>2218742.4464099999</v>
      </c>
      <c r="AZ744" s="55">
        <v>1040167.914408</v>
      </c>
      <c r="BA744" s="55">
        <v>906414.55938600004</v>
      </c>
      <c r="BB744" s="55">
        <v>0</v>
      </c>
      <c r="BC744" s="55"/>
      <c r="BD744" s="55">
        <v>312478.894455</v>
      </c>
      <c r="BE744" s="55">
        <v>0</v>
      </c>
      <c r="BF744" s="55"/>
      <c r="BG744" s="55">
        <v>0</v>
      </c>
      <c r="BH744" s="55"/>
      <c r="BI744" s="55"/>
      <c r="BJ744" s="55"/>
      <c r="BK744" s="63"/>
      <c r="BL744" s="64">
        <v>773567.31588100002</v>
      </c>
      <c r="BM744" s="110">
        <f t="shared" si="198"/>
        <v>8834990.3952760007</v>
      </c>
      <c r="BN744" s="55">
        <v>3583619.264736</v>
      </c>
      <c r="BO744" s="55">
        <v>2218742.4464099999</v>
      </c>
      <c r="BP744" s="55">
        <v>1040167.914408</v>
      </c>
      <c r="BQ744" s="55">
        <v>906414.55938600004</v>
      </c>
      <c r="BR744" s="55">
        <v>0</v>
      </c>
      <c r="BS744" s="55"/>
      <c r="BT744" s="55">
        <v>312478.894455</v>
      </c>
      <c r="BU744" s="55">
        <v>0</v>
      </c>
      <c r="BV744" s="55"/>
      <c r="BW744" s="55">
        <v>0</v>
      </c>
      <c r="BX744" s="55"/>
      <c r="BY744" s="55"/>
      <c r="BZ744" s="55"/>
      <c r="CA744" s="63"/>
      <c r="CB744" s="64">
        <v>773567.31588100002</v>
      </c>
      <c r="CD744" s="75"/>
      <c r="CE744" s="6"/>
    </row>
    <row r="745" spans="1:83" x14ac:dyDescent="0.25">
      <c r="A745" s="105">
        <f t="shared" si="199"/>
        <v>723</v>
      </c>
      <c r="B745" s="106">
        <f t="shared" si="193"/>
        <v>263</v>
      </c>
      <c r="C745" s="107" t="s">
        <v>218</v>
      </c>
      <c r="D745" s="107" t="s">
        <v>411</v>
      </c>
      <c r="E745" s="128">
        <v>1964</v>
      </c>
      <c r="F745" s="128">
        <v>1964</v>
      </c>
      <c r="G745" s="128" t="s">
        <v>64</v>
      </c>
      <c r="H745" s="128">
        <v>3</v>
      </c>
      <c r="I745" s="128">
        <v>1</v>
      </c>
      <c r="J745" s="63">
        <v>998.5</v>
      </c>
      <c r="K745" s="63">
        <v>928.6</v>
      </c>
      <c r="L745" s="63">
        <v>69.900000000000006</v>
      </c>
      <c r="M745" s="129">
        <v>43</v>
      </c>
      <c r="N745" s="108">
        <v>17678996.129999999</v>
      </c>
      <c r="O745" s="63"/>
      <c r="P745" s="62">
        <v>4313834.8</v>
      </c>
      <c r="Q745" s="63"/>
      <c r="R745" s="62">
        <v>174251.99</v>
      </c>
      <c r="S745" s="62">
        <v>964605.61</v>
      </c>
      <c r="T745" s="62">
        <v>12226303.73</v>
      </c>
      <c r="U745" s="63">
        <v>9594.9323512190404</v>
      </c>
      <c r="V745" s="63">
        <v>1368.2830200640001</v>
      </c>
      <c r="W745" s="59">
        <v>2024</v>
      </c>
      <c r="X745" s="6" t="e">
        <v>#REF!</v>
      </c>
      <c r="Z745" s="62">
        <f t="shared" si="194"/>
        <v>36927435.980000004</v>
      </c>
      <c r="AA745" s="55">
        <v>3327972.9418462799</v>
      </c>
      <c r="AB745" s="55">
        <v>2025021.9533430601</v>
      </c>
      <c r="AC745" s="55">
        <v>954219.41462316003</v>
      </c>
      <c r="AD745" s="55">
        <v>813184.4343966</v>
      </c>
      <c r="AE745" s="55">
        <v>0</v>
      </c>
      <c r="AF745" s="55"/>
      <c r="AG745" s="55">
        <v>315453.97193603998</v>
      </c>
      <c r="AH745" s="55">
        <v>0</v>
      </c>
      <c r="AI745" s="55">
        <v>9627253.2988380007</v>
      </c>
      <c r="AJ745" s="55">
        <v>0</v>
      </c>
      <c r="AK745" s="55">
        <v>7871869.6290435595</v>
      </c>
      <c r="AL745" s="55">
        <v>7407837.5399091002</v>
      </c>
      <c r="AM745" s="55">
        <v>3508076.6172000002</v>
      </c>
      <c r="AN745" s="63">
        <v>369274.35979999998</v>
      </c>
      <c r="AO745" s="64">
        <v>707271.81906420004</v>
      </c>
      <c r="AP745" s="61">
        <f>+N745-'Приложение №2'!E745</f>
        <v>2.5059990584850311E-3</v>
      </c>
      <c r="AQ745" s="65">
        <f>483296.11-R343</f>
        <v>-114425.64000000001</v>
      </c>
      <c r="AR745" s="3">
        <f t="shared" si="196"/>
        <v>114425.64000000001</v>
      </c>
      <c r="AS745" s="3">
        <f>+(K745*10.5+L745*21)*12*30-S343</f>
        <v>-1574175.2585999593</v>
      </c>
      <c r="AT745" s="6">
        <f t="shared" si="195"/>
        <v>2538780.8685999592</v>
      </c>
      <c r="AU745" s="6" t="e">
        <v>#REF!</v>
      </c>
      <c r="AV745" s="6" t="e">
        <v>#REF!</v>
      </c>
      <c r="AW745" s="110">
        <f t="shared" si="197"/>
        <v>8909854.1813420001</v>
      </c>
      <c r="AX745" s="55">
        <v>3617984.0269860001</v>
      </c>
      <c r="AY745" s="55">
        <v>2231790.3844320001</v>
      </c>
      <c r="AZ745" s="55">
        <v>1050168.4431</v>
      </c>
      <c r="BA745" s="55">
        <v>912769.65628800006</v>
      </c>
      <c r="BB745" s="55">
        <v>0</v>
      </c>
      <c r="BC745" s="55"/>
      <c r="BD745" s="55">
        <v>315453.97193603998</v>
      </c>
      <c r="BE745" s="55">
        <v>0</v>
      </c>
      <c r="BF745" s="55"/>
      <c r="BG745" s="55">
        <v>0</v>
      </c>
      <c r="BH745" s="55"/>
      <c r="BI745" s="55"/>
      <c r="BJ745" s="55"/>
      <c r="BK745" s="63"/>
      <c r="BL745" s="64">
        <v>781687.69859995996</v>
      </c>
      <c r="BM745" s="110">
        <f t="shared" si="198"/>
        <v>8909854.1813420001</v>
      </c>
      <c r="BN745" s="55">
        <v>3617984.0269860001</v>
      </c>
      <c r="BO745" s="55">
        <v>2231790.3844320001</v>
      </c>
      <c r="BP745" s="55">
        <v>1050168.4431</v>
      </c>
      <c r="BQ745" s="55">
        <v>912769.65628800006</v>
      </c>
      <c r="BR745" s="55">
        <v>0</v>
      </c>
      <c r="BS745" s="55"/>
      <c r="BT745" s="55">
        <v>315453.97193603998</v>
      </c>
      <c r="BU745" s="55">
        <v>0</v>
      </c>
      <c r="BV745" s="55"/>
      <c r="BW745" s="55">
        <v>0</v>
      </c>
      <c r="BX745" s="55"/>
      <c r="BY745" s="55"/>
      <c r="BZ745" s="55"/>
      <c r="CA745" s="63"/>
      <c r="CB745" s="64">
        <v>781687.69859995996</v>
      </c>
      <c r="CD745" s="75"/>
      <c r="CE745" s="6"/>
    </row>
    <row r="746" spans="1:83" x14ac:dyDescent="0.25">
      <c r="A746" s="105">
        <f t="shared" si="199"/>
        <v>724</v>
      </c>
      <c r="B746" s="106">
        <f t="shared" si="193"/>
        <v>264</v>
      </c>
      <c r="C746" s="107" t="s">
        <v>218</v>
      </c>
      <c r="D746" s="107" t="s">
        <v>683</v>
      </c>
      <c r="E746" s="128">
        <v>1977</v>
      </c>
      <c r="F746" s="128">
        <v>1977</v>
      </c>
      <c r="G746" s="128" t="s">
        <v>64</v>
      </c>
      <c r="H746" s="128">
        <v>4</v>
      </c>
      <c r="I746" s="128">
        <v>1</v>
      </c>
      <c r="J746" s="63">
        <v>1491.2</v>
      </c>
      <c r="K746" s="63">
        <v>1247.2</v>
      </c>
      <c r="L746" s="63">
        <v>130.5</v>
      </c>
      <c r="M746" s="129">
        <v>31</v>
      </c>
      <c r="N746" s="108">
        <v>19313313.57</v>
      </c>
      <c r="O746" s="63"/>
      <c r="P746" s="62">
        <v>3961606.85</v>
      </c>
      <c r="Q746" s="63"/>
      <c r="R746" s="62">
        <v>711225.82</v>
      </c>
      <c r="S746" s="62">
        <v>5700996</v>
      </c>
      <c r="T746" s="62">
        <v>8939484.9000000004</v>
      </c>
      <c r="U746" s="63">
        <v>15485.3380153853</v>
      </c>
      <c r="V746" s="63">
        <v>1377.2830200640001</v>
      </c>
      <c r="W746" s="59">
        <v>2024</v>
      </c>
      <c r="X746" s="6" t="e">
        <v>#REF!</v>
      </c>
      <c r="Z746" s="62">
        <f t="shared" si="194"/>
        <v>24547091.719999999</v>
      </c>
      <c r="AA746" s="55">
        <v>3823646.793114</v>
      </c>
      <c r="AB746" s="55">
        <v>1377432.691104</v>
      </c>
      <c r="AC746" s="55">
        <v>1464223.795434</v>
      </c>
      <c r="AD746" s="55">
        <v>926339.45652600005</v>
      </c>
      <c r="AE746" s="55">
        <v>0</v>
      </c>
      <c r="AF746" s="55"/>
      <c r="AG746" s="55">
        <v>129828.307854</v>
      </c>
      <c r="AH746" s="55">
        <v>0</v>
      </c>
      <c r="AI746" s="55">
        <v>7205871.6359639997</v>
      </c>
      <c r="AJ746" s="55">
        <v>887837.01690000005</v>
      </c>
      <c r="AK746" s="55">
        <v>3723413.4532499998</v>
      </c>
      <c r="AL746" s="55">
        <v>4008332.6726939999</v>
      </c>
      <c r="AM746" s="55">
        <v>421405.55</v>
      </c>
      <c r="AN746" s="55">
        <v>63836.77</v>
      </c>
      <c r="AO746" s="64">
        <v>514923.57715999999</v>
      </c>
      <c r="AP746" s="61">
        <f>+N746-'Приложение №2'!E746</f>
        <v>-2.7885995805263519E-3</v>
      </c>
      <c r="AQ746" s="65" t="e">
        <f>549697.6-#REF!</f>
        <v>#REF!</v>
      </c>
      <c r="AR746" s="3">
        <f t="shared" si="196"/>
        <v>161528.22</v>
      </c>
      <c r="AS746" s="3" t="e">
        <f>+(K746*10.5+L746*21)*12*30-#REF!</f>
        <v>#REF!</v>
      </c>
      <c r="AT746" s="6" t="e">
        <f t="shared" si="195"/>
        <v>#REF!</v>
      </c>
      <c r="AU746" s="6" t="e">
        <v>#REF!</v>
      </c>
      <c r="AV746" s="6" t="e">
        <v>#REF!</v>
      </c>
      <c r="AW746" s="110">
        <f t="shared" si="197"/>
        <v>19313313.5727886</v>
      </c>
      <c r="AX746" s="55">
        <v>3823646.793114</v>
      </c>
      <c r="AY746" s="55">
        <v>1377432.691104</v>
      </c>
      <c r="AZ746" s="55">
        <v>1464223.795434</v>
      </c>
      <c r="BA746" s="55">
        <v>926339.45652600005</v>
      </c>
      <c r="BB746" s="55">
        <v>0</v>
      </c>
      <c r="BC746" s="55"/>
      <c r="BD746" s="55">
        <v>129828.307854</v>
      </c>
      <c r="BE746" s="55">
        <v>0</v>
      </c>
      <c r="BF746" s="55">
        <v>7205871.6359639997</v>
      </c>
      <c r="BG746" s="55"/>
      <c r="BH746" s="55"/>
      <c r="BI746" s="55">
        <v>4008332.6726939999</v>
      </c>
      <c r="BJ746" s="55"/>
      <c r="BK746" s="55"/>
      <c r="BL746" s="64">
        <v>377638.22009860002</v>
      </c>
      <c r="BM746" s="110">
        <f t="shared" si="198"/>
        <v>19313313.5727886</v>
      </c>
      <c r="BN746" s="55">
        <v>3823646.793114</v>
      </c>
      <c r="BO746" s="55">
        <v>1377432.691104</v>
      </c>
      <c r="BP746" s="55">
        <v>1464223.795434</v>
      </c>
      <c r="BQ746" s="55">
        <v>926339.45652600005</v>
      </c>
      <c r="BR746" s="55">
        <v>0</v>
      </c>
      <c r="BS746" s="55"/>
      <c r="BT746" s="55">
        <v>129828.307854</v>
      </c>
      <c r="BU746" s="55">
        <v>0</v>
      </c>
      <c r="BV746" s="55">
        <v>7205871.6359639997</v>
      </c>
      <c r="BW746" s="55"/>
      <c r="BX746" s="55"/>
      <c r="BY746" s="55">
        <v>4008332.6726939999</v>
      </c>
      <c r="BZ746" s="55"/>
      <c r="CA746" s="55"/>
      <c r="CB746" s="64">
        <v>377638.22009860002</v>
      </c>
      <c r="CD746" s="75"/>
      <c r="CE746" s="6"/>
    </row>
    <row r="747" spans="1:83" x14ac:dyDescent="0.25">
      <c r="A747" s="105">
        <f t="shared" si="199"/>
        <v>725</v>
      </c>
      <c r="B747" s="106">
        <f t="shared" si="193"/>
        <v>265</v>
      </c>
      <c r="C747" s="107" t="s">
        <v>218</v>
      </c>
      <c r="D747" s="107" t="s">
        <v>684</v>
      </c>
      <c r="E747" s="128">
        <v>1979</v>
      </c>
      <c r="F747" s="128">
        <v>1979</v>
      </c>
      <c r="G747" s="128" t="s">
        <v>64</v>
      </c>
      <c r="H747" s="128">
        <v>5</v>
      </c>
      <c r="I747" s="128">
        <v>4</v>
      </c>
      <c r="J747" s="63">
        <v>3568.8</v>
      </c>
      <c r="K747" s="63">
        <v>2956.3</v>
      </c>
      <c r="L747" s="63">
        <v>398.4</v>
      </c>
      <c r="M747" s="129">
        <v>89</v>
      </c>
      <c r="N747" s="108">
        <v>46230178.07</v>
      </c>
      <c r="O747" s="63"/>
      <c r="P747" s="62">
        <v>6585721.5899999999</v>
      </c>
      <c r="Q747" s="63"/>
      <c r="R747" s="62">
        <v>2046209.08</v>
      </c>
      <c r="S747" s="62">
        <v>14186718</v>
      </c>
      <c r="T747" s="62">
        <v>23411529.399999999</v>
      </c>
      <c r="U747" s="63">
        <v>15637.8507161458</v>
      </c>
      <c r="V747" s="63">
        <v>1378.2830200640001</v>
      </c>
      <c r="W747" s="59">
        <v>2024</v>
      </c>
      <c r="X747" s="6" t="e">
        <v>#REF!</v>
      </c>
      <c r="Z747" s="62">
        <f t="shared" si="194"/>
        <v>58415569.580000006</v>
      </c>
      <c r="AA747" s="55">
        <v>9150018.9223740008</v>
      </c>
      <c r="AB747" s="55">
        <v>3322771.2370799999</v>
      </c>
      <c r="AC747" s="55">
        <v>3507760.1149860001</v>
      </c>
      <c r="AD747" s="55">
        <v>2240831.5174500002</v>
      </c>
      <c r="AE747" s="55">
        <v>0</v>
      </c>
      <c r="AF747" s="55"/>
      <c r="AG747" s="55">
        <v>308956.957092</v>
      </c>
      <c r="AH747" s="55">
        <v>0</v>
      </c>
      <c r="AI747" s="55">
        <v>17090431.012026001</v>
      </c>
      <c r="AJ747" s="55">
        <v>2174763.3641519998</v>
      </c>
      <c r="AK747" s="55">
        <v>8910518.0415659994</v>
      </c>
      <c r="AL747" s="55">
        <v>9620247.9809520002</v>
      </c>
      <c r="AM747" s="55">
        <v>780893.53</v>
      </c>
      <c r="AN747" s="55">
        <v>76634.820000000007</v>
      </c>
      <c r="AO747" s="64">
        <v>1231742.0823220001</v>
      </c>
      <c r="AP747" s="61">
        <f>+N747-'Приложение №2'!E747</f>
        <v>-2.1418407559394836E-3</v>
      </c>
      <c r="AQ747" s="65">
        <v>1644252.07</v>
      </c>
      <c r="AR747" s="3">
        <f t="shared" si="196"/>
        <v>401957.01</v>
      </c>
      <c r="AS747" s="3">
        <f>+(K747*10.5+L747*21)*12*30</f>
        <v>14186718.000000002</v>
      </c>
      <c r="AT747" s="6">
        <f t="shared" si="195"/>
        <v>0</v>
      </c>
      <c r="AU747" s="6" t="e">
        <v>#REF!</v>
      </c>
      <c r="AV747" s="6" t="e">
        <v>#REF!</v>
      </c>
      <c r="AW747" s="110">
        <f t="shared" si="197"/>
        <v>46230178.072141841</v>
      </c>
      <c r="AX747" s="55">
        <v>9150018.9223740008</v>
      </c>
      <c r="AY747" s="55">
        <v>3322771.2370799999</v>
      </c>
      <c r="AZ747" s="55">
        <v>3507760.1149860001</v>
      </c>
      <c r="BA747" s="55">
        <v>2240831.5174500002</v>
      </c>
      <c r="BB747" s="55">
        <v>0</v>
      </c>
      <c r="BC747" s="55"/>
      <c r="BD747" s="55">
        <v>308956.957092</v>
      </c>
      <c r="BE747" s="55">
        <v>0</v>
      </c>
      <c r="BF747" s="55">
        <v>17090431.012026001</v>
      </c>
      <c r="BG747" s="55"/>
      <c r="BH747" s="55"/>
      <c r="BI747" s="55">
        <v>9620247.9809520002</v>
      </c>
      <c r="BJ747" s="55"/>
      <c r="BK747" s="55"/>
      <c r="BL747" s="64">
        <v>989160.33018183999</v>
      </c>
      <c r="BM747" s="110">
        <f t="shared" si="198"/>
        <v>46230178.072141841</v>
      </c>
      <c r="BN747" s="55">
        <v>9150018.9223740008</v>
      </c>
      <c r="BO747" s="55">
        <v>3322771.2370799999</v>
      </c>
      <c r="BP747" s="55">
        <v>3507760.1149860001</v>
      </c>
      <c r="BQ747" s="55">
        <v>2240831.5174500002</v>
      </c>
      <c r="BR747" s="55">
        <v>0</v>
      </c>
      <c r="BS747" s="55"/>
      <c r="BT747" s="55">
        <v>308956.957092</v>
      </c>
      <c r="BU747" s="55">
        <v>0</v>
      </c>
      <c r="BV747" s="55">
        <v>17090431.012026001</v>
      </c>
      <c r="BW747" s="55"/>
      <c r="BX747" s="55"/>
      <c r="BY747" s="55">
        <v>9620247.9809520002</v>
      </c>
      <c r="BZ747" s="55"/>
      <c r="CA747" s="55"/>
      <c r="CB747" s="64">
        <v>989160.33018183999</v>
      </c>
      <c r="CD747" s="75"/>
      <c r="CE747" s="6"/>
    </row>
    <row r="748" spans="1:83" x14ac:dyDescent="0.25">
      <c r="A748" s="105">
        <f t="shared" si="199"/>
        <v>726</v>
      </c>
      <c r="B748" s="106">
        <f t="shared" si="193"/>
        <v>266</v>
      </c>
      <c r="C748" s="107" t="s">
        <v>218</v>
      </c>
      <c r="D748" s="107" t="s">
        <v>412</v>
      </c>
      <c r="E748" s="128">
        <v>1976</v>
      </c>
      <c r="F748" s="128">
        <v>1976</v>
      </c>
      <c r="G748" s="128" t="s">
        <v>64</v>
      </c>
      <c r="H748" s="128">
        <v>5</v>
      </c>
      <c r="I748" s="128">
        <v>5</v>
      </c>
      <c r="J748" s="63">
        <v>3760.4</v>
      </c>
      <c r="K748" s="63">
        <v>2861.4</v>
      </c>
      <c r="L748" s="63">
        <v>798.2</v>
      </c>
      <c r="M748" s="129">
        <v>103</v>
      </c>
      <c r="N748" s="108">
        <v>42193452.899999999</v>
      </c>
      <c r="O748" s="63"/>
      <c r="P748" s="62">
        <v>2730258.81</v>
      </c>
      <c r="Q748" s="63"/>
      <c r="R748" s="62">
        <v>1178222.92</v>
      </c>
      <c r="S748" s="62">
        <v>11565419.9</v>
      </c>
      <c r="T748" s="62">
        <v>26719551.27</v>
      </c>
      <c r="U748" s="63">
        <v>6449.6315401594702</v>
      </c>
      <c r="V748" s="63">
        <v>1376.2830200640001</v>
      </c>
      <c r="W748" s="59">
        <v>2024</v>
      </c>
      <c r="X748" s="6" t="e">
        <v>#REF!</v>
      </c>
      <c r="Z748" s="62">
        <f t="shared" si="194"/>
        <v>64553057.020000003</v>
      </c>
      <c r="AA748" s="55">
        <v>10537075.366257999</v>
      </c>
      <c r="AB748" s="55">
        <v>3835013.4758319999</v>
      </c>
      <c r="AC748" s="55">
        <v>4042843.3866099999</v>
      </c>
      <c r="AD748" s="55">
        <v>2587058.6111860001</v>
      </c>
      <c r="AE748" s="55">
        <v>0</v>
      </c>
      <c r="AF748" s="55"/>
      <c r="AG748" s="55">
        <v>355628.19171599997</v>
      </c>
      <c r="AH748" s="55">
        <v>0</v>
      </c>
      <c r="AI748" s="55">
        <v>19695633.831831999</v>
      </c>
      <c r="AJ748" s="55">
        <v>0</v>
      </c>
      <c r="AK748" s="55">
        <v>10278986.262243999</v>
      </c>
      <c r="AL748" s="55">
        <v>11095009.757789999</v>
      </c>
      <c r="AM748" s="55">
        <v>686396.29</v>
      </c>
      <c r="AN748" s="55">
        <v>74254.350000000006</v>
      </c>
      <c r="AO748" s="64">
        <v>1365157.4965319999</v>
      </c>
      <c r="AP748" s="61">
        <f>+N748-'Приложение №2'!E748</f>
        <v>-7.4543207883834839E-3</v>
      </c>
      <c r="AQ748" s="65">
        <f>1678565.67-R344</f>
        <v>1384009.94</v>
      </c>
      <c r="AR748" s="3">
        <f t="shared" si="196"/>
        <v>477430.38</v>
      </c>
      <c r="AS748" s="3">
        <f>+(K748*10.5+L748*21)*12*30-S344</f>
        <v>14658894.23597968</v>
      </c>
      <c r="AT748" s="6">
        <f t="shared" si="195"/>
        <v>-3093474.3359796796</v>
      </c>
      <c r="AU748" s="6" t="e">
        <v>#REF!</v>
      </c>
      <c r="AV748" s="6" t="e">
        <v>#REF!</v>
      </c>
      <c r="AW748" s="110">
        <f t="shared" si="197"/>
        <v>18454975.689012323</v>
      </c>
      <c r="AX748" s="55">
        <v>10537075.366257999</v>
      </c>
      <c r="AY748" s="55">
        <v>3835013.4758319999</v>
      </c>
      <c r="AZ748" s="55"/>
      <c r="BA748" s="55">
        <v>2587058.6111860001</v>
      </c>
      <c r="BB748" s="55">
        <v>0</v>
      </c>
      <c r="BC748" s="55"/>
      <c r="BD748" s="55">
        <v>355628.19171599997</v>
      </c>
      <c r="BE748" s="55">
        <v>0</v>
      </c>
      <c r="BF748" s="55"/>
      <c r="BG748" s="55"/>
      <c r="BH748" s="55"/>
      <c r="BI748" s="55"/>
      <c r="BJ748" s="55"/>
      <c r="BK748" s="55"/>
      <c r="BL748" s="64">
        <v>1140200.0440203201</v>
      </c>
      <c r="BM748" s="110">
        <f t="shared" si="198"/>
        <v>18454975.689012323</v>
      </c>
      <c r="BN748" s="55">
        <v>10537075.366257999</v>
      </c>
      <c r="BO748" s="55">
        <v>3835013.4758319999</v>
      </c>
      <c r="BP748" s="55"/>
      <c r="BQ748" s="55">
        <v>2587058.6111860001</v>
      </c>
      <c r="BR748" s="55">
        <v>0</v>
      </c>
      <c r="BS748" s="55"/>
      <c r="BT748" s="55">
        <v>355628.19171599997</v>
      </c>
      <c r="BU748" s="55">
        <v>0</v>
      </c>
      <c r="BV748" s="55"/>
      <c r="BW748" s="55"/>
      <c r="BX748" s="55"/>
      <c r="BY748" s="55"/>
      <c r="BZ748" s="55"/>
      <c r="CA748" s="55"/>
      <c r="CB748" s="64">
        <v>1140200.0440203201</v>
      </c>
      <c r="CD748" s="75"/>
      <c r="CE748" s="6"/>
    </row>
    <row r="749" spans="1:83" x14ac:dyDescent="0.25">
      <c r="A749" s="105">
        <f t="shared" si="199"/>
        <v>727</v>
      </c>
      <c r="B749" s="106">
        <f t="shared" si="193"/>
        <v>267</v>
      </c>
      <c r="C749" s="107" t="s">
        <v>218</v>
      </c>
      <c r="D749" s="107" t="s">
        <v>413</v>
      </c>
      <c r="E749" s="128">
        <v>1967</v>
      </c>
      <c r="F749" s="128">
        <v>1967</v>
      </c>
      <c r="G749" s="128" t="s">
        <v>64</v>
      </c>
      <c r="H749" s="128">
        <v>3</v>
      </c>
      <c r="I749" s="128">
        <v>2</v>
      </c>
      <c r="J749" s="63">
        <v>994.3</v>
      </c>
      <c r="K749" s="63">
        <v>775.2</v>
      </c>
      <c r="L749" s="63">
        <v>168.7</v>
      </c>
      <c r="M749" s="129">
        <v>26</v>
      </c>
      <c r="N749" s="108">
        <v>2326647.4500000002</v>
      </c>
      <c r="O749" s="63"/>
      <c r="P749" s="63"/>
      <c r="Q749" s="63"/>
      <c r="R749" s="62">
        <v>486776.28</v>
      </c>
      <c r="S749" s="62">
        <v>1299265.3799999999</v>
      </c>
      <c r="T749" s="62">
        <v>540605.79</v>
      </c>
      <c r="U749" s="63">
        <v>1325.78203196453</v>
      </c>
      <c r="V749" s="63">
        <v>1325.78203196453</v>
      </c>
      <c r="W749" s="59">
        <v>2024</v>
      </c>
      <c r="X749" s="6" t="e">
        <v>#REF!</v>
      </c>
      <c r="Z749" s="62">
        <f t="shared" si="194"/>
        <v>34167233.340000004</v>
      </c>
      <c r="AA749" s="55">
        <v>3079218.0664572599</v>
      </c>
      <c r="AB749" s="55">
        <v>1873658.3176915799</v>
      </c>
      <c r="AC749" s="55">
        <v>882894.70095414005</v>
      </c>
      <c r="AD749" s="55">
        <v>752401.61084172002</v>
      </c>
      <c r="AE749" s="55">
        <v>0</v>
      </c>
      <c r="AF749" s="55"/>
      <c r="AG749" s="55">
        <v>291874.83960432</v>
      </c>
      <c r="AH749" s="55">
        <v>0</v>
      </c>
      <c r="AI749" s="55">
        <v>8907648.2312202007</v>
      </c>
      <c r="AJ749" s="55">
        <v>0</v>
      </c>
      <c r="AK749" s="55">
        <v>7283473.6350293402</v>
      </c>
      <c r="AL749" s="55">
        <v>6854126.4005717998</v>
      </c>
      <c r="AM749" s="55">
        <v>3245859.594</v>
      </c>
      <c r="AN749" s="63">
        <v>341672.3334</v>
      </c>
      <c r="AO749" s="64">
        <v>654405.61022964003</v>
      </c>
      <c r="AP749" s="61">
        <f>+N749-'Приложение №2'!E749</f>
        <v>2.8680078685283661E-5</v>
      </c>
      <c r="AQ749" s="1">
        <v>373291.08</v>
      </c>
      <c r="AR749" s="3">
        <f>+(K749*10+L749*20)*12*0.85</f>
        <v>113485.2</v>
      </c>
      <c r="AS749" s="3">
        <f>+(K749*10+L749*20)*12*30</f>
        <v>4005360</v>
      </c>
      <c r="AT749" s="6">
        <f t="shared" si="195"/>
        <v>-2706094.62</v>
      </c>
      <c r="AU749" s="6" t="e">
        <v>#REF!</v>
      </c>
      <c r="AV749" s="6" t="e">
        <v>#REF!</v>
      </c>
      <c r="AW749" s="62">
        <f t="shared" si="197"/>
        <v>1251405.6599713201</v>
      </c>
      <c r="AX749" s="55"/>
      <c r="AY749" s="55"/>
      <c r="AZ749" s="55">
        <v>970374.21133800002</v>
      </c>
      <c r="BA749" s="55"/>
      <c r="BB749" s="55">
        <v>0</v>
      </c>
      <c r="BC749" s="55"/>
      <c r="BD749" s="55"/>
      <c r="BE749" s="55">
        <v>0</v>
      </c>
      <c r="BF749" s="55"/>
      <c r="BG749" s="55">
        <v>0</v>
      </c>
      <c r="BH749" s="55"/>
      <c r="BI749" s="55"/>
      <c r="BJ749" s="55"/>
      <c r="BK749" s="63"/>
      <c r="BL749" s="64">
        <v>281031.44863331999</v>
      </c>
      <c r="BM749" s="62">
        <f t="shared" si="198"/>
        <v>1251405.6599713201</v>
      </c>
      <c r="BN749" s="55"/>
      <c r="BO749" s="55"/>
      <c r="BP749" s="55">
        <v>970374.21133800002</v>
      </c>
      <c r="BQ749" s="55"/>
      <c r="BR749" s="55">
        <v>0</v>
      </c>
      <c r="BS749" s="55"/>
      <c r="BT749" s="55"/>
      <c r="BU749" s="55">
        <v>0</v>
      </c>
      <c r="BV749" s="55"/>
      <c r="BW749" s="55">
        <v>0</v>
      </c>
      <c r="BX749" s="55"/>
      <c r="BY749" s="55"/>
      <c r="BZ749" s="55"/>
      <c r="CA749" s="63"/>
      <c r="CB749" s="64">
        <v>281031.44863331999</v>
      </c>
      <c r="CD749" s="75"/>
      <c r="CE749" s="6"/>
    </row>
    <row r="750" spans="1:83" x14ac:dyDescent="0.25">
      <c r="A750" s="105">
        <f t="shared" si="199"/>
        <v>728</v>
      </c>
      <c r="B750" s="106">
        <f t="shared" si="193"/>
        <v>268</v>
      </c>
      <c r="C750" s="107" t="s">
        <v>218</v>
      </c>
      <c r="D750" s="107" t="s">
        <v>414</v>
      </c>
      <c r="E750" s="128">
        <v>1970</v>
      </c>
      <c r="F750" s="128">
        <v>1970</v>
      </c>
      <c r="G750" s="128" t="s">
        <v>64</v>
      </c>
      <c r="H750" s="128">
        <v>3</v>
      </c>
      <c r="I750" s="128">
        <v>3</v>
      </c>
      <c r="J750" s="63">
        <v>1002.4</v>
      </c>
      <c r="K750" s="63">
        <v>930.4</v>
      </c>
      <c r="L750" s="63">
        <v>71.8</v>
      </c>
      <c r="M750" s="129">
        <v>40</v>
      </c>
      <c r="N750" s="108">
        <v>16927583.789999999</v>
      </c>
      <c r="O750" s="63"/>
      <c r="P750" s="62">
        <v>4325915.93</v>
      </c>
      <c r="Q750" s="63"/>
      <c r="R750" s="62">
        <v>290233</v>
      </c>
      <c r="S750" s="63"/>
      <c r="T750" s="62">
        <v>12311434.859999999</v>
      </c>
      <c r="U750" s="63">
        <v>8823.1422760816895</v>
      </c>
      <c r="V750" s="63">
        <v>1370.2830200640001</v>
      </c>
      <c r="W750" s="59">
        <v>2024</v>
      </c>
      <c r="X750" s="6" t="e">
        <v>#REF!</v>
      </c>
      <c r="Z750" s="62">
        <f t="shared" si="194"/>
        <v>37138619.279999994</v>
      </c>
      <c r="AA750" s="55">
        <v>3347005.1922761998</v>
      </c>
      <c r="AB750" s="55">
        <v>2036602.79352348</v>
      </c>
      <c r="AC750" s="55">
        <v>959676.47271510004</v>
      </c>
      <c r="AD750" s="55">
        <v>817834.93398936</v>
      </c>
      <c r="AE750" s="55">
        <v>0</v>
      </c>
      <c r="AF750" s="55"/>
      <c r="AG750" s="55">
        <v>317258.01868739998</v>
      </c>
      <c r="AH750" s="55">
        <v>0</v>
      </c>
      <c r="AI750" s="55">
        <v>9682310.3290956002</v>
      </c>
      <c r="AJ750" s="55">
        <v>0</v>
      </c>
      <c r="AK750" s="55">
        <v>7916887.8477771599</v>
      </c>
      <c r="AL750" s="55">
        <v>7450202.0227714796</v>
      </c>
      <c r="AM750" s="55">
        <v>3528138.8599</v>
      </c>
      <c r="AN750" s="63">
        <v>371386.19280000002</v>
      </c>
      <c r="AO750" s="64">
        <v>711316.61646421999</v>
      </c>
      <c r="AP750" s="61">
        <f>+N750-'Приложение №2'!E750</f>
        <v>-3.6664009094238281E-3</v>
      </c>
      <c r="AQ750" s="65">
        <f>503547.06-R346</f>
        <v>-115025.39999999997</v>
      </c>
      <c r="AR750" s="3">
        <f>+(K750*10.5+L750*21)*12*0.85</f>
        <v>115025.39999999997</v>
      </c>
      <c r="AS750" s="3">
        <f>+(K750*10.5+L750*21)*12*30-S346</f>
        <v>-1256511.2964642206</v>
      </c>
      <c r="AT750" s="6">
        <f t="shared" si="195"/>
        <v>1256511.2964642206</v>
      </c>
      <c r="AU750" s="6" t="e">
        <v>#REF!</v>
      </c>
      <c r="AV750" s="6" t="e">
        <v>#REF!</v>
      </c>
      <c r="AW750" s="110">
        <f t="shared" si="197"/>
        <v>8209051.5736664003</v>
      </c>
      <c r="AX750" s="55">
        <v>3347005.1922761998</v>
      </c>
      <c r="AY750" s="55">
        <v>2036602.79352348</v>
      </c>
      <c r="AZ750" s="55">
        <v>959676.47271510004</v>
      </c>
      <c r="BA750" s="55">
        <v>837192.48</v>
      </c>
      <c r="BB750" s="55">
        <v>0</v>
      </c>
      <c r="BC750" s="55"/>
      <c r="BD750" s="55">
        <v>317258.01868739998</v>
      </c>
      <c r="BE750" s="55">
        <v>0</v>
      </c>
      <c r="BF750" s="55"/>
      <c r="BG750" s="55">
        <v>0</v>
      </c>
      <c r="BH750" s="55"/>
      <c r="BI750" s="55"/>
      <c r="BJ750" s="55"/>
      <c r="BK750" s="63"/>
      <c r="BL750" s="64">
        <v>711316.61646421999</v>
      </c>
      <c r="BM750" s="110">
        <f t="shared" si="198"/>
        <v>8209051.5736664003</v>
      </c>
      <c r="BN750" s="55">
        <v>3347005.1922761998</v>
      </c>
      <c r="BO750" s="55">
        <v>2036602.79352348</v>
      </c>
      <c r="BP750" s="55">
        <v>959676.47271510004</v>
      </c>
      <c r="BQ750" s="55">
        <v>837192.48</v>
      </c>
      <c r="BR750" s="55">
        <v>0</v>
      </c>
      <c r="BS750" s="55"/>
      <c r="BT750" s="55">
        <v>317258.01868739998</v>
      </c>
      <c r="BU750" s="55">
        <v>0</v>
      </c>
      <c r="BV750" s="55"/>
      <c r="BW750" s="55">
        <v>0</v>
      </c>
      <c r="BX750" s="55"/>
      <c r="BY750" s="55"/>
      <c r="BZ750" s="55"/>
      <c r="CA750" s="63"/>
      <c r="CB750" s="64">
        <v>711316.61646421999</v>
      </c>
      <c r="CD750" s="75"/>
      <c r="CE750" s="6"/>
    </row>
    <row r="751" spans="1:83" x14ac:dyDescent="0.25">
      <c r="A751" s="105">
        <f t="shared" si="199"/>
        <v>729</v>
      </c>
      <c r="B751" s="106">
        <f t="shared" si="193"/>
        <v>269</v>
      </c>
      <c r="C751" s="107" t="s">
        <v>218</v>
      </c>
      <c r="D751" s="107" t="s">
        <v>685</v>
      </c>
      <c r="E751" s="128" t="s">
        <v>686</v>
      </c>
      <c r="F751" s="128"/>
      <c r="G751" s="128" t="s">
        <v>64</v>
      </c>
      <c r="H751" s="128" t="s">
        <v>123</v>
      </c>
      <c r="I751" s="128" t="s">
        <v>102</v>
      </c>
      <c r="J751" s="63">
        <v>5398.2</v>
      </c>
      <c r="K751" s="63">
        <v>4716.7</v>
      </c>
      <c r="L751" s="63">
        <v>0</v>
      </c>
      <c r="M751" s="129">
        <v>166</v>
      </c>
      <c r="N751" s="108">
        <v>8542100</v>
      </c>
      <c r="O751" s="63"/>
      <c r="P751" s="63"/>
      <c r="Q751" s="62">
        <v>718272</v>
      </c>
      <c r="R751" s="62">
        <v>3771476.17</v>
      </c>
      <c r="S751" s="62">
        <v>4052351.83</v>
      </c>
      <c r="T751" s="63"/>
      <c r="U751" s="63">
        <v>1811.033137575</v>
      </c>
      <c r="V751" s="63">
        <v>1371.2830200640001</v>
      </c>
      <c r="W751" s="59">
        <v>2024</v>
      </c>
      <c r="X751" s="6"/>
      <c r="Z751" s="62"/>
      <c r="AA751" s="55"/>
      <c r="AB751" s="55"/>
      <c r="AC751" s="55"/>
      <c r="AD751" s="55"/>
      <c r="AE751" s="55"/>
      <c r="AF751" s="55"/>
      <c r="AG751" s="55"/>
      <c r="AH751" s="55"/>
      <c r="AI751" s="55"/>
      <c r="AJ751" s="55"/>
      <c r="AK751" s="55"/>
      <c r="AL751" s="55"/>
      <c r="AM751" s="55"/>
      <c r="AN751" s="63"/>
      <c r="AO751" s="64"/>
      <c r="AP751" s="61">
        <f>+N751-'Приложение №2'!E751</f>
        <v>0</v>
      </c>
      <c r="AQ751" s="65">
        <v>3100336.93</v>
      </c>
      <c r="AR751" s="3">
        <f>+(K751*13.95+L751*23.65)*12*0.85</f>
        <v>671139.2429999999</v>
      </c>
      <c r="AS751" s="3">
        <f>+(K751*13.95+L751*23.65)*12*30</f>
        <v>23687267.399999999</v>
      </c>
      <c r="AT751" s="6"/>
      <c r="AU751" s="6"/>
      <c r="AV751" s="6"/>
      <c r="AW751" s="110">
        <f t="shared" si="197"/>
        <v>8542100</v>
      </c>
      <c r="AX751" s="55"/>
      <c r="AY751" s="55"/>
      <c r="AZ751" s="55"/>
      <c r="BA751" s="55"/>
      <c r="BB751" s="55"/>
      <c r="BC751" s="55"/>
      <c r="BD751" s="55"/>
      <c r="BE751" s="55">
        <v>8024927.0976</v>
      </c>
      <c r="BF751" s="55"/>
      <c r="BG751" s="55"/>
      <c r="BH751" s="55"/>
      <c r="BI751" s="55"/>
      <c r="BJ751" s="55">
        <v>256263</v>
      </c>
      <c r="BK751" s="63">
        <v>85421</v>
      </c>
      <c r="BL751" s="64">
        <v>175488.90239999999</v>
      </c>
      <c r="BM751" s="110">
        <f t="shared" si="198"/>
        <v>8542100</v>
      </c>
      <c r="BN751" s="55"/>
      <c r="BO751" s="55"/>
      <c r="BP751" s="55"/>
      <c r="BQ751" s="55"/>
      <c r="BR751" s="55"/>
      <c r="BS751" s="55"/>
      <c r="BT751" s="55"/>
      <c r="BU751" s="55">
        <v>8024927.0976</v>
      </c>
      <c r="BV751" s="55"/>
      <c r="BW751" s="55"/>
      <c r="BX751" s="55"/>
      <c r="BY751" s="55"/>
      <c r="BZ751" s="55">
        <v>256263</v>
      </c>
      <c r="CA751" s="63">
        <v>85421</v>
      </c>
      <c r="CB751" s="64">
        <v>175488.90239999999</v>
      </c>
      <c r="CD751" s="75"/>
      <c r="CE751" s="6"/>
    </row>
    <row r="752" spans="1:83" x14ac:dyDescent="0.25">
      <c r="A752" s="105">
        <f t="shared" si="199"/>
        <v>730</v>
      </c>
      <c r="B752" s="106">
        <f t="shared" si="193"/>
        <v>270</v>
      </c>
      <c r="C752" s="107" t="s">
        <v>218</v>
      </c>
      <c r="D752" s="107" t="s">
        <v>222</v>
      </c>
      <c r="E752" s="128">
        <v>1974</v>
      </c>
      <c r="F752" s="128">
        <v>1974</v>
      </c>
      <c r="G752" s="128" t="s">
        <v>64</v>
      </c>
      <c r="H752" s="128">
        <v>4</v>
      </c>
      <c r="I752" s="128">
        <v>3</v>
      </c>
      <c r="J752" s="63">
        <v>1380.9</v>
      </c>
      <c r="K752" s="63">
        <v>1261.0999999999999</v>
      </c>
      <c r="L752" s="63">
        <v>0</v>
      </c>
      <c r="M752" s="129">
        <v>43</v>
      </c>
      <c r="N752" s="108">
        <v>6596891.8200000003</v>
      </c>
      <c r="O752" s="63"/>
      <c r="P752" s="62">
        <v>1342375.92</v>
      </c>
      <c r="Q752" s="63"/>
      <c r="R752" s="62">
        <v>135063.81</v>
      </c>
      <c r="S752" s="62">
        <v>5119452.09</v>
      </c>
      <c r="T752" s="63"/>
      <c r="U752" s="63">
        <v>4385.4528894353798</v>
      </c>
      <c r="V752" s="63">
        <v>1372.2830200640001</v>
      </c>
      <c r="W752" s="59">
        <v>2024</v>
      </c>
      <c r="X752" s="6" t="e">
        <v>#REF!</v>
      </c>
      <c r="Z752" s="62">
        <f>SUM(AA752:AO752)</f>
        <v>24082184.680000003</v>
      </c>
      <c r="AA752" s="55">
        <v>3459603.0948952199</v>
      </c>
      <c r="AB752" s="55">
        <v>1248096.36492156</v>
      </c>
      <c r="AC752" s="55">
        <v>1303954.6600395001</v>
      </c>
      <c r="AD752" s="55">
        <v>816386.97648732003</v>
      </c>
      <c r="AE752" s="55">
        <v>0</v>
      </c>
      <c r="AF752" s="55"/>
      <c r="AG752" s="55">
        <v>124822.049583</v>
      </c>
      <c r="AH752" s="55">
        <v>0</v>
      </c>
      <c r="AI752" s="55">
        <v>6403192.8421986001</v>
      </c>
      <c r="AJ752" s="55">
        <v>838109.10532440001</v>
      </c>
      <c r="AK752" s="55">
        <v>3324589.38292698</v>
      </c>
      <c r="AL752" s="55">
        <v>3585887.05339116</v>
      </c>
      <c r="AM752" s="55">
        <v>2275205.5373</v>
      </c>
      <c r="AN752" s="63">
        <v>240821.8468</v>
      </c>
      <c r="AO752" s="64">
        <v>461515.76613225997</v>
      </c>
      <c r="AP752" s="61">
        <f>+N752-'Приложение №2'!E752</f>
        <v>3.146827220916748E-4</v>
      </c>
      <c r="AQ752" s="6">
        <f>656646.01-R151</f>
        <v>14721.25</v>
      </c>
      <c r="AR752" s="3">
        <f>+(K752*10.5+L752*21)*12*0.85</f>
        <v>135063.80999999997</v>
      </c>
      <c r="AS752" s="3">
        <f>+(K752*10.5+L752*21)*12*30-S151</f>
        <v>4076748.0691816392</v>
      </c>
      <c r="AT752" s="6">
        <f>+S752-AS752</f>
        <v>1042704.0208183606</v>
      </c>
      <c r="AU752" s="6" t="e">
        <v>#REF!</v>
      </c>
      <c r="AV752" s="6" t="e">
        <v>#REF!</v>
      </c>
      <c r="AW752" s="110">
        <f t="shared" si="197"/>
        <v>5530494.6388669573</v>
      </c>
      <c r="AX752" s="55">
        <v>3852549.3967092801</v>
      </c>
      <c r="AY752" s="55"/>
      <c r="AZ752" s="55">
        <v>1437441.799164</v>
      </c>
      <c r="BA752" s="55"/>
      <c r="BB752" s="55">
        <v>0</v>
      </c>
      <c r="BC752" s="55"/>
      <c r="BD752" s="55">
        <v>124822.049583</v>
      </c>
      <c r="BE752" s="55">
        <v>0</v>
      </c>
      <c r="BF752" s="55"/>
      <c r="BG752" s="55"/>
      <c r="BH752" s="55"/>
      <c r="BI752" s="55"/>
      <c r="BJ752" s="55"/>
      <c r="BK752" s="63"/>
      <c r="BL752" s="64">
        <v>115681.393410677</v>
      </c>
      <c r="BM752" s="110">
        <f t="shared" si="198"/>
        <v>5530494.6388669573</v>
      </c>
      <c r="BN752" s="55">
        <v>3852549.3967092801</v>
      </c>
      <c r="BO752" s="55"/>
      <c r="BP752" s="55">
        <v>1437441.799164</v>
      </c>
      <c r="BQ752" s="55"/>
      <c r="BR752" s="55">
        <v>0</v>
      </c>
      <c r="BS752" s="55"/>
      <c r="BT752" s="55">
        <v>124822.049583</v>
      </c>
      <c r="BU752" s="55">
        <v>0</v>
      </c>
      <c r="BV752" s="55"/>
      <c r="BW752" s="55"/>
      <c r="BX752" s="55"/>
      <c r="BY752" s="55"/>
      <c r="BZ752" s="55"/>
      <c r="CA752" s="63"/>
      <c r="CB752" s="64">
        <v>115681.393410677</v>
      </c>
      <c r="CD752" s="75"/>
      <c r="CE752" s="6"/>
    </row>
    <row r="753" spans="1:83" x14ac:dyDescent="0.25">
      <c r="A753" s="105">
        <f t="shared" si="199"/>
        <v>731</v>
      </c>
      <c r="B753" s="106">
        <f t="shared" si="193"/>
        <v>271</v>
      </c>
      <c r="C753" s="107" t="s">
        <v>218</v>
      </c>
      <c r="D753" s="107" t="s">
        <v>416</v>
      </c>
      <c r="E753" s="128">
        <v>1973</v>
      </c>
      <c r="F753" s="128">
        <v>1973</v>
      </c>
      <c r="G753" s="128" t="s">
        <v>64</v>
      </c>
      <c r="H753" s="128">
        <v>4</v>
      </c>
      <c r="I753" s="128">
        <v>1</v>
      </c>
      <c r="J753" s="63">
        <v>1419.3</v>
      </c>
      <c r="K753" s="63">
        <v>1084.2</v>
      </c>
      <c r="L753" s="63">
        <v>165.8</v>
      </c>
      <c r="M753" s="129">
        <v>48</v>
      </c>
      <c r="N753" s="108">
        <v>6647943.4699999997</v>
      </c>
      <c r="O753" s="63"/>
      <c r="P753" s="62">
        <v>3168000.66</v>
      </c>
      <c r="Q753" s="63"/>
      <c r="R753" s="62">
        <v>1093859.1599999999</v>
      </c>
      <c r="S753" s="62">
        <v>2386083.65</v>
      </c>
      <c r="T753" s="63">
        <v>0</v>
      </c>
      <c r="U753" s="63">
        <v>5887.52019192442</v>
      </c>
      <c r="V753" s="63">
        <v>1374.2830200640001</v>
      </c>
      <c r="W753" s="59">
        <v>2024</v>
      </c>
      <c r="X753" s="6" t="e">
        <v>#REF!</v>
      </c>
      <c r="Z753" s="62">
        <f>SUM(AA753:AO753)</f>
        <v>23254292.520000003</v>
      </c>
      <c r="AA753" s="55">
        <v>3340669.60738602</v>
      </c>
      <c r="AB753" s="55">
        <v>1205189.5738415399</v>
      </c>
      <c r="AC753" s="55">
        <v>1259127.58958028</v>
      </c>
      <c r="AD753" s="55">
        <v>788321.39941547997</v>
      </c>
      <c r="AE753" s="55">
        <v>0</v>
      </c>
      <c r="AF753" s="55"/>
      <c r="AG753" s="55">
        <v>120530.94592896001</v>
      </c>
      <c r="AH753" s="55">
        <v>0</v>
      </c>
      <c r="AI753" s="55">
        <v>6183065.2576392004</v>
      </c>
      <c r="AJ753" s="55">
        <v>809296.77121649997</v>
      </c>
      <c r="AK753" s="55">
        <v>3210297.36429402</v>
      </c>
      <c r="AL753" s="55">
        <v>3462612.1981025399</v>
      </c>
      <c r="AM753" s="55">
        <v>2196989.0109000001</v>
      </c>
      <c r="AN753" s="63">
        <v>232542.9252</v>
      </c>
      <c r="AO753" s="64">
        <v>445649.87649545999</v>
      </c>
      <c r="AP753" s="61">
        <f>+N753-'Приложение №2'!E753</f>
        <v>-1.6644606366753578E-3</v>
      </c>
      <c r="AQ753" s="65">
        <v>677532.9</v>
      </c>
      <c r="AR753" s="3">
        <f>+(K753*10.5+L753*21)*12*0.85</f>
        <v>151632.18000000002</v>
      </c>
      <c r="AS753" s="3">
        <f>+(K753*10.5+L753*21)*12*30</f>
        <v>5351724.0000000009</v>
      </c>
      <c r="AT753" s="6">
        <f>+S753-AS753</f>
        <v>-2965640.350000001</v>
      </c>
      <c r="AU753" s="6" t="e">
        <v>#REF!</v>
      </c>
      <c r="AV753" s="6" t="e">
        <v>#REF!</v>
      </c>
      <c r="AW753" s="110">
        <f t="shared" si="197"/>
        <v>6383249.3920844607</v>
      </c>
      <c r="AX753" s="55">
        <v>3621078.2721119998</v>
      </c>
      <c r="AY753" s="55">
        <v>1375290.94</v>
      </c>
      <c r="AZ753" s="55"/>
      <c r="BA753" s="55">
        <v>876899.75830800005</v>
      </c>
      <c r="BB753" s="55">
        <v>0</v>
      </c>
      <c r="BC753" s="55"/>
      <c r="BD753" s="55">
        <v>120530.94592896001</v>
      </c>
      <c r="BE753" s="55">
        <v>0</v>
      </c>
      <c r="BF753" s="55"/>
      <c r="BG753" s="55">
        <v>0</v>
      </c>
      <c r="BH753" s="55">
        <v>0</v>
      </c>
      <c r="BI753" s="55"/>
      <c r="BJ753" s="55"/>
      <c r="BK753" s="63"/>
      <c r="BL753" s="64">
        <v>389449.47573549999</v>
      </c>
      <c r="BM753" s="110">
        <f t="shared" si="198"/>
        <v>6383249.3920844607</v>
      </c>
      <c r="BN753" s="55">
        <v>3621078.2721119998</v>
      </c>
      <c r="BO753" s="55">
        <v>1375290.94</v>
      </c>
      <c r="BP753" s="55"/>
      <c r="BQ753" s="55">
        <v>876899.75830800005</v>
      </c>
      <c r="BR753" s="55">
        <v>0</v>
      </c>
      <c r="BS753" s="55"/>
      <c r="BT753" s="55">
        <v>120530.94592896001</v>
      </c>
      <c r="BU753" s="55">
        <v>0</v>
      </c>
      <c r="BV753" s="55"/>
      <c r="BW753" s="55">
        <v>0</v>
      </c>
      <c r="BX753" s="55">
        <v>0</v>
      </c>
      <c r="BY753" s="55"/>
      <c r="BZ753" s="55"/>
      <c r="CA753" s="63"/>
      <c r="CB753" s="64">
        <v>389449.47573549999</v>
      </c>
      <c r="CD753" s="75"/>
      <c r="CE753" s="6"/>
    </row>
    <row r="754" spans="1:83" x14ac:dyDescent="0.25">
      <c r="A754" s="105">
        <f t="shared" si="199"/>
        <v>732</v>
      </c>
      <c r="B754" s="106">
        <f t="shared" si="193"/>
        <v>272</v>
      </c>
      <c r="C754" s="107" t="s">
        <v>218</v>
      </c>
      <c r="D754" s="107" t="s">
        <v>223</v>
      </c>
      <c r="E754" s="128">
        <v>1962</v>
      </c>
      <c r="F754" s="128">
        <v>1962</v>
      </c>
      <c r="G754" s="128" t="s">
        <v>64</v>
      </c>
      <c r="H754" s="128">
        <v>3</v>
      </c>
      <c r="I754" s="128">
        <v>2</v>
      </c>
      <c r="J754" s="63">
        <v>937.1</v>
      </c>
      <c r="K754" s="63">
        <v>723.7</v>
      </c>
      <c r="L754" s="63">
        <v>213.4</v>
      </c>
      <c r="M754" s="129">
        <v>26</v>
      </c>
      <c r="N754" s="108">
        <v>5055276.9400000004</v>
      </c>
      <c r="O754" s="63"/>
      <c r="P754" s="62">
        <v>2404062.0099999998</v>
      </c>
      <c r="Q754" s="63"/>
      <c r="R754" s="62">
        <v>123218.55</v>
      </c>
      <c r="S754" s="62">
        <v>1099083.04</v>
      </c>
      <c r="T754" s="62">
        <v>1428913.34</v>
      </c>
      <c r="U754" s="63">
        <v>6328.6845608743997</v>
      </c>
      <c r="V754" s="63">
        <v>1373.2830200640001</v>
      </c>
      <c r="W754" s="59">
        <v>2024</v>
      </c>
      <c r="X754" s="6" t="e">
        <v>#REF!</v>
      </c>
      <c r="Z754" s="62">
        <f>SUM(AA754:AO754)</f>
        <v>26675784</v>
      </c>
      <c r="AA754" s="55">
        <v>2404073.9634912</v>
      </c>
      <c r="AB754" s="55">
        <v>1462843.1901888</v>
      </c>
      <c r="AC754" s="55">
        <v>689312.71110239998</v>
      </c>
      <c r="AD754" s="55">
        <v>587431.31489279994</v>
      </c>
      <c r="AE754" s="55">
        <v>0</v>
      </c>
      <c r="AF754" s="55"/>
      <c r="AG754" s="55">
        <v>227878.8628032</v>
      </c>
      <c r="AH754" s="55">
        <v>0</v>
      </c>
      <c r="AI754" s="55">
        <v>6954572.4655680005</v>
      </c>
      <c r="AJ754" s="55">
        <v>0</v>
      </c>
      <c r="AK754" s="55">
        <v>5686511.6200032001</v>
      </c>
      <c r="AL754" s="55">
        <v>5351302.3282992002</v>
      </c>
      <c r="AM754" s="55">
        <v>2534177.952</v>
      </c>
      <c r="AN754" s="63">
        <v>266757.84000000003</v>
      </c>
      <c r="AO754" s="64">
        <v>510921.7516512</v>
      </c>
      <c r="AP754" s="61">
        <f>+N754-'Приложение №2'!E754</f>
        <v>-6.7047998309135437E-3</v>
      </c>
      <c r="AQ754" s="6">
        <f>353999.5-R348</f>
        <v>135489.38</v>
      </c>
      <c r="AR754" s="3">
        <f>+(K754*10.5+L754*21)*12*0.85</f>
        <v>123218.55</v>
      </c>
      <c r="AS754" s="3">
        <f>+(K754*10.5+L754*21)*12*30-S348</f>
        <v>252385.35175199993</v>
      </c>
      <c r="AT754" s="6">
        <f>+S754-AS754</f>
        <v>846697.68824800011</v>
      </c>
      <c r="AU754" s="6" t="e">
        <v>#REF!</v>
      </c>
      <c r="AV754" s="6" t="e">
        <v>#REF!</v>
      </c>
      <c r="AW754" s="110">
        <f t="shared" si="197"/>
        <v>4580069.0167048005</v>
      </c>
      <c r="AX754" s="55">
        <v>2968725.2</v>
      </c>
      <c r="AY754" s="55">
        <v>0</v>
      </c>
      <c r="AZ754" s="55">
        <v>953705.41</v>
      </c>
      <c r="BA754" s="55"/>
      <c r="BB754" s="55">
        <v>0</v>
      </c>
      <c r="BC754" s="55"/>
      <c r="BD754" s="55">
        <v>227878.8628032</v>
      </c>
      <c r="BE754" s="55">
        <v>0</v>
      </c>
      <c r="BF754" s="55">
        <v>227029.93</v>
      </c>
      <c r="BG754" s="55">
        <v>0</v>
      </c>
      <c r="BH754" s="55"/>
      <c r="BI754" s="55"/>
      <c r="BJ754" s="55"/>
      <c r="BK754" s="63"/>
      <c r="BL754" s="64">
        <v>202729.61390160001</v>
      </c>
      <c r="BM754" s="110">
        <f t="shared" si="198"/>
        <v>3626363.6067048004</v>
      </c>
      <c r="BN754" s="55">
        <v>2968725.2</v>
      </c>
      <c r="BO754" s="55">
        <v>0</v>
      </c>
      <c r="BP754" s="55"/>
      <c r="BQ754" s="55"/>
      <c r="BR754" s="55">
        <v>0</v>
      </c>
      <c r="BS754" s="55"/>
      <c r="BT754" s="55">
        <v>227878.8628032</v>
      </c>
      <c r="BU754" s="55">
        <v>0</v>
      </c>
      <c r="BV754" s="55">
        <v>227029.93</v>
      </c>
      <c r="BW754" s="55">
        <v>0</v>
      </c>
      <c r="BX754" s="55"/>
      <c r="BY754" s="55"/>
      <c r="BZ754" s="55"/>
      <c r="CA754" s="63"/>
      <c r="CB754" s="64">
        <v>202729.61390160001</v>
      </c>
      <c r="CD754" s="75"/>
      <c r="CE754" s="6"/>
    </row>
    <row r="755" spans="1:83" x14ac:dyDescent="0.25">
      <c r="A755" s="105">
        <f t="shared" si="199"/>
        <v>733</v>
      </c>
      <c r="B755" s="106">
        <f t="shared" si="193"/>
        <v>273</v>
      </c>
      <c r="C755" s="107" t="s">
        <v>218</v>
      </c>
      <c r="D755" s="107" t="s">
        <v>687</v>
      </c>
      <c r="E755" s="128" t="s">
        <v>431</v>
      </c>
      <c r="F755" s="128"/>
      <c r="G755" s="128" t="s">
        <v>64</v>
      </c>
      <c r="H755" s="128" t="s">
        <v>101</v>
      </c>
      <c r="I755" s="128" t="s">
        <v>229</v>
      </c>
      <c r="J755" s="63">
        <v>3670.5</v>
      </c>
      <c r="K755" s="63">
        <v>3418.1</v>
      </c>
      <c r="L755" s="63">
        <v>0</v>
      </c>
      <c r="M755" s="129">
        <v>108</v>
      </c>
      <c r="N755" s="108">
        <v>21943518.949999999</v>
      </c>
      <c r="O755" s="63"/>
      <c r="P755" s="63"/>
      <c r="Q755" s="62">
        <v>2388438</v>
      </c>
      <c r="R755" s="62">
        <v>2217399.54</v>
      </c>
      <c r="S755" s="62">
        <v>17337681.41</v>
      </c>
      <c r="T755" s="63"/>
      <c r="U755" s="63">
        <v>6419.8001668099796</v>
      </c>
      <c r="V755" s="63">
        <v>1375.2830200640001</v>
      </c>
      <c r="W755" s="59">
        <v>2024</v>
      </c>
      <c r="X755" s="6"/>
      <c r="Z755" s="62"/>
      <c r="AA755" s="55"/>
      <c r="AB755" s="55"/>
      <c r="AC755" s="55"/>
      <c r="AD755" s="55"/>
      <c r="AE755" s="55"/>
      <c r="AF755" s="55"/>
      <c r="AG755" s="55"/>
      <c r="AH755" s="55"/>
      <c r="AI755" s="55"/>
      <c r="AJ755" s="55"/>
      <c r="AK755" s="55"/>
      <c r="AL755" s="55"/>
      <c r="AM755" s="55"/>
      <c r="AN755" s="63"/>
      <c r="AO755" s="64"/>
      <c r="AP755" s="61">
        <f>+N755-'Приложение №2'!E755</f>
        <v>-1.7315894365310669E-4</v>
      </c>
      <c r="AQ755" s="65">
        <v>1851321.03</v>
      </c>
      <c r="AR755" s="3">
        <f>+(K755*10.5+L755*21)*12*0.85</f>
        <v>366078.50999999995</v>
      </c>
      <c r="AS755" s="3">
        <f>+(K755*10.5+L755*21)*12*30</f>
        <v>12920418</v>
      </c>
      <c r="AT755" s="6"/>
      <c r="AU755" s="6"/>
      <c r="AV755" s="6"/>
      <c r="AW755" s="110">
        <f t="shared" si="197"/>
        <v>21943518.950173158</v>
      </c>
      <c r="AX755" s="55"/>
      <c r="AY755" s="55"/>
      <c r="AZ755" s="55"/>
      <c r="BA755" s="55"/>
      <c r="BB755" s="55"/>
      <c r="BC755" s="55"/>
      <c r="BD755" s="55"/>
      <c r="BE755" s="55"/>
      <c r="BF755" s="55">
        <v>19326534.880175501</v>
      </c>
      <c r="BG755" s="55">
        <v>0</v>
      </c>
      <c r="BH755" s="55">
        <v>0</v>
      </c>
      <c r="BI755" s="55">
        <v>0</v>
      </c>
      <c r="BJ755" s="55">
        <v>1974916.70551559</v>
      </c>
      <c r="BK755" s="63">
        <v>219435.18950173201</v>
      </c>
      <c r="BL755" s="64">
        <v>422632.17498033599</v>
      </c>
      <c r="BM755" s="110">
        <f t="shared" si="198"/>
        <v>21943518.950173158</v>
      </c>
      <c r="BN755" s="55"/>
      <c r="BO755" s="55"/>
      <c r="BP755" s="55"/>
      <c r="BQ755" s="55"/>
      <c r="BR755" s="55"/>
      <c r="BS755" s="55"/>
      <c r="BT755" s="55"/>
      <c r="BU755" s="55"/>
      <c r="BV755" s="55">
        <v>19326534.880175501</v>
      </c>
      <c r="BW755" s="55">
        <v>0</v>
      </c>
      <c r="BX755" s="55">
        <v>0</v>
      </c>
      <c r="BY755" s="55">
        <v>0</v>
      </c>
      <c r="BZ755" s="55">
        <v>1974916.70551559</v>
      </c>
      <c r="CA755" s="63">
        <v>219435.18950173201</v>
      </c>
      <c r="CB755" s="64">
        <v>422632.17498033599</v>
      </c>
      <c r="CD755" s="75"/>
      <c r="CE755" s="6"/>
    </row>
    <row r="756" spans="1:83" x14ac:dyDescent="0.25">
      <c r="A756" s="105">
        <f t="shared" si="199"/>
        <v>734</v>
      </c>
      <c r="B756" s="106">
        <f t="shared" si="193"/>
        <v>274</v>
      </c>
      <c r="C756" s="107" t="s">
        <v>224</v>
      </c>
      <c r="D756" s="107" t="s">
        <v>688</v>
      </c>
      <c r="E756" s="128">
        <v>1967</v>
      </c>
      <c r="F756" s="128">
        <v>2010</v>
      </c>
      <c r="G756" s="128" t="s">
        <v>64</v>
      </c>
      <c r="H756" s="128">
        <v>4</v>
      </c>
      <c r="I756" s="128">
        <v>6</v>
      </c>
      <c r="J756" s="63">
        <v>4129.8999999999996</v>
      </c>
      <c r="K756" s="63">
        <v>3028.01</v>
      </c>
      <c r="L756" s="63">
        <v>1016.7</v>
      </c>
      <c r="M756" s="129">
        <v>153</v>
      </c>
      <c r="N756" s="108">
        <v>24641314.829999998</v>
      </c>
      <c r="O756" s="63"/>
      <c r="P756" s="62">
        <v>2833048.35</v>
      </c>
      <c r="Q756" s="63"/>
      <c r="R756" s="62">
        <v>1590558.34</v>
      </c>
      <c r="S756" s="62">
        <v>15731823.93</v>
      </c>
      <c r="T756" s="62">
        <v>4485884.21</v>
      </c>
      <c r="U756" s="63">
        <v>8137.7917619511099</v>
      </c>
      <c r="V756" s="63">
        <v>1380.2830200640001</v>
      </c>
      <c r="W756" s="59">
        <v>2024</v>
      </c>
      <c r="X756" s="6" t="e">
        <v>#REF!</v>
      </c>
      <c r="Z756" s="62">
        <f>SUM(AA756:AO756)</f>
        <v>74428273.169999942</v>
      </c>
      <c r="AA756" s="55">
        <v>10992944.493307101</v>
      </c>
      <c r="AB756" s="55">
        <v>4031142.10588698</v>
      </c>
      <c r="AC756" s="55">
        <v>4211597.53865634</v>
      </c>
      <c r="AD756" s="55">
        <v>2636776.0742307599</v>
      </c>
      <c r="AE756" s="55">
        <v>0</v>
      </c>
      <c r="AF756" s="55"/>
      <c r="AG756" s="55">
        <v>362907.99124439998</v>
      </c>
      <c r="AH756" s="55">
        <v>0</v>
      </c>
      <c r="AI756" s="55">
        <v>20681273.964065399</v>
      </c>
      <c r="AJ756" s="55">
        <v>0</v>
      </c>
      <c r="AK756" s="55">
        <v>10737851.5117629</v>
      </c>
      <c r="AL756" s="55">
        <v>11581851.3841426</v>
      </c>
      <c r="AM756" s="55">
        <v>7021058.6343999999</v>
      </c>
      <c r="AN756" s="63">
        <v>744282.7317</v>
      </c>
      <c r="AO756" s="64">
        <v>1426586.74060346</v>
      </c>
      <c r="AP756" s="61">
        <f>+N756-'Приложение №2'!E756</f>
        <v>-3.1056143343448639E-3</v>
      </c>
      <c r="AQ756" s="1">
        <f>2238292.29-1189810.96</f>
        <v>1048481.3300000001</v>
      </c>
      <c r="AR756" s="3">
        <f>+(K756*10.5+L756*21)*12*0.85</f>
        <v>542077.01100000006</v>
      </c>
      <c r="AS756" s="3">
        <f>+(K756*10.5+L756*21)*12*30-3400305.87</f>
        <v>15731823.930000003</v>
      </c>
      <c r="AT756" s="6">
        <f t="shared" ref="AT756:AT787" si="200">+S756-AS756</f>
        <v>0</v>
      </c>
      <c r="AU756" s="6" t="e">
        <v>#REF!</v>
      </c>
      <c r="AV756" s="6" t="e">
        <v>#REF!</v>
      </c>
      <c r="AW756" s="110">
        <f t="shared" si="197"/>
        <v>24641314.833105613</v>
      </c>
      <c r="AX756" s="55">
        <v>11569017.9163022</v>
      </c>
      <c r="AY756" s="55">
        <v>0</v>
      </c>
      <c r="AZ756" s="55">
        <v>0</v>
      </c>
      <c r="BA756" s="55">
        <v>0</v>
      </c>
      <c r="BB756" s="55">
        <v>0</v>
      </c>
      <c r="BC756" s="55"/>
      <c r="BD756" s="55">
        <v>381912.63386907103</v>
      </c>
      <c r="BE756" s="55">
        <v>0</v>
      </c>
      <c r="BF756" s="55">
        <v>0</v>
      </c>
      <c r="BG756" s="55">
        <v>0</v>
      </c>
      <c r="BH756" s="55">
        <v>0</v>
      </c>
      <c r="BI756" s="55">
        <v>12188783.1560285</v>
      </c>
      <c r="BJ756" s="55"/>
      <c r="BK756" s="63"/>
      <c r="BL756" s="64">
        <v>501601.12690584001</v>
      </c>
      <c r="BM756" s="110">
        <f t="shared" si="198"/>
        <v>24641314.833105613</v>
      </c>
      <c r="BN756" s="55">
        <v>11569017.9163022</v>
      </c>
      <c r="BO756" s="55">
        <v>0</v>
      </c>
      <c r="BP756" s="55">
        <v>0</v>
      </c>
      <c r="BQ756" s="55">
        <v>0</v>
      </c>
      <c r="BR756" s="55">
        <v>0</v>
      </c>
      <c r="BS756" s="55"/>
      <c r="BT756" s="55">
        <v>381912.63386907103</v>
      </c>
      <c r="BU756" s="55">
        <v>0</v>
      </c>
      <c r="BV756" s="55">
        <v>0</v>
      </c>
      <c r="BW756" s="55">
        <v>0</v>
      </c>
      <c r="BX756" s="55">
        <v>0</v>
      </c>
      <c r="BY756" s="55">
        <v>12188783.1560285</v>
      </c>
      <c r="BZ756" s="55"/>
      <c r="CA756" s="63"/>
      <c r="CB756" s="64">
        <v>501601.12690584001</v>
      </c>
      <c r="CD756" s="75"/>
      <c r="CE756" s="6"/>
    </row>
    <row r="757" spans="1:83" x14ac:dyDescent="0.25">
      <c r="A757" s="105">
        <f t="shared" si="199"/>
        <v>735</v>
      </c>
      <c r="B757" s="106">
        <f t="shared" si="193"/>
        <v>275</v>
      </c>
      <c r="C757" s="107" t="s">
        <v>224</v>
      </c>
      <c r="D757" s="107" t="s">
        <v>689</v>
      </c>
      <c r="E757" s="128">
        <v>1986</v>
      </c>
      <c r="F757" s="128">
        <v>2013</v>
      </c>
      <c r="G757" s="128" t="s">
        <v>64</v>
      </c>
      <c r="H757" s="128">
        <v>9</v>
      </c>
      <c r="I757" s="128">
        <v>1</v>
      </c>
      <c r="J757" s="63">
        <v>2272.3000000000002</v>
      </c>
      <c r="K757" s="63">
        <v>2002.9</v>
      </c>
      <c r="L757" s="63">
        <v>0</v>
      </c>
      <c r="M757" s="129">
        <v>70</v>
      </c>
      <c r="N757" s="108">
        <v>7941122.6699999999</v>
      </c>
      <c r="O757" s="63"/>
      <c r="P757" s="62">
        <v>1384418.62</v>
      </c>
      <c r="Q757" s="63"/>
      <c r="R757" s="62">
        <v>1165473.96</v>
      </c>
      <c r="S757" s="62">
        <v>3715229.64</v>
      </c>
      <c r="T757" s="62">
        <v>1676000.45</v>
      </c>
      <c r="U757" s="63">
        <v>3785.87607494133</v>
      </c>
      <c r="V757" s="63">
        <v>1381.2830200640001</v>
      </c>
      <c r="W757" s="59">
        <v>2024</v>
      </c>
      <c r="X757" s="6" t="e">
        <v>#REF!</v>
      </c>
      <c r="Z757" s="62">
        <f>SUM(AA757:AO757)</f>
        <v>21594584.648010876</v>
      </c>
      <c r="AA757" s="55">
        <v>4631599.4465777399</v>
      </c>
      <c r="AB757" s="55"/>
      <c r="AC757" s="55">
        <v>1934925.9339127201</v>
      </c>
      <c r="AD757" s="55">
        <v>1745759.1417302401</v>
      </c>
      <c r="AE757" s="55">
        <v>0</v>
      </c>
      <c r="AF757" s="55"/>
      <c r="AG757" s="55">
        <v>222817.11301920001</v>
      </c>
      <c r="AH757" s="55">
        <v>0</v>
      </c>
      <c r="AI757" s="55">
        <v>2259410.2166411998</v>
      </c>
      <c r="AJ757" s="55">
        <v>0</v>
      </c>
      <c r="AK757" s="55"/>
      <c r="AL757" s="55">
        <v>5158377.8738793004</v>
      </c>
      <c r="AM757" s="55">
        <v>4350496.0855999999</v>
      </c>
      <c r="AN757" s="63">
        <v>443884.90120000002</v>
      </c>
      <c r="AO757" s="64">
        <v>847313.93545047997</v>
      </c>
      <c r="AP757" s="61">
        <f>+N757-'Приложение №2'!E757</f>
        <v>3.3793002367019653E-3</v>
      </c>
      <c r="AQ757" s="6">
        <v>880481.32</v>
      </c>
      <c r="AR757" s="3">
        <f>+(K757*13.95+L757*23.65)*12*0.85</f>
        <v>284992.64099999995</v>
      </c>
      <c r="AS757" s="3">
        <f>+(K757*13.95+L757*23.65)*12*30-6343334.16</f>
        <v>3715229.6399999987</v>
      </c>
      <c r="AT757" s="6">
        <f t="shared" si="200"/>
        <v>0</v>
      </c>
      <c r="AU757" s="6" t="e">
        <v>#REF!</v>
      </c>
      <c r="AV757" s="6" t="e">
        <v>#REF!</v>
      </c>
      <c r="AW757" s="110">
        <f t="shared" si="197"/>
        <v>7582731.1905000005</v>
      </c>
      <c r="AX757" s="55"/>
      <c r="AY757" s="55"/>
      <c r="AZ757" s="55">
        <v>436138.45</v>
      </c>
      <c r="BA757" s="55">
        <v>1875411.59</v>
      </c>
      <c r="BB757" s="55">
        <v>0</v>
      </c>
      <c r="BC757" s="55"/>
      <c r="BD757" s="55"/>
      <c r="BE757" s="55">
        <v>0</v>
      </c>
      <c r="BF757" s="55"/>
      <c r="BG757" s="55">
        <v>0</v>
      </c>
      <c r="BH757" s="55"/>
      <c r="BI757" s="55">
        <v>5158377.8738793004</v>
      </c>
      <c r="BJ757" s="55"/>
      <c r="BK757" s="63"/>
      <c r="BL757" s="64">
        <v>112803.27662069999</v>
      </c>
      <c r="BM757" s="110">
        <f t="shared" si="198"/>
        <v>7582731.1905000005</v>
      </c>
      <c r="BN757" s="55"/>
      <c r="BO757" s="55"/>
      <c r="BP757" s="55">
        <v>436138.45</v>
      </c>
      <c r="BQ757" s="55">
        <v>1875411.59</v>
      </c>
      <c r="BR757" s="55">
        <v>0</v>
      </c>
      <c r="BS757" s="55"/>
      <c r="BT757" s="55"/>
      <c r="BU757" s="55">
        <v>0</v>
      </c>
      <c r="BV757" s="55"/>
      <c r="BW757" s="55">
        <v>0</v>
      </c>
      <c r="BX757" s="55"/>
      <c r="BY757" s="55">
        <v>5158377.8738793004</v>
      </c>
      <c r="BZ757" s="55"/>
      <c r="CA757" s="63"/>
      <c r="CB757" s="64">
        <v>112803.27662069999</v>
      </c>
      <c r="CD757" s="75"/>
      <c r="CE757" s="6"/>
    </row>
    <row r="758" spans="1:83" x14ac:dyDescent="0.25">
      <c r="A758" s="105">
        <f t="shared" si="199"/>
        <v>736</v>
      </c>
      <c r="B758" s="106">
        <f t="shared" si="193"/>
        <v>276</v>
      </c>
      <c r="C758" s="107" t="s">
        <v>224</v>
      </c>
      <c r="D758" s="107" t="s">
        <v>690</v>
      </c>
      <c r="E758" s="128">
        <v>1999</v>
      </c>
      <c r="F758" s="128">
        <v>2006</v>
      </c>
      <c r="G758" s="128" t="s">
        <v>64</v>
      </c>
      <c r="H758" s="128">
        <v>9</v>
      </c>
      <c r="I758" s="128">
        <v>2</v>
      </c>
      <c r="J758" s="63">
        <v>4762.8999999999996</v>
      </c>
      <c r="K758" s="63">
        <v>4203.6000000000004</v>
      </c>
      <c r="L758" s="63">
        <v>0</v>
      </c>
      <c r="M758" s="129">
        <v>167</v>
      </c>
      <c r="N758" s="108">
        <v>8542100</v>
      </c>
      <c r="O758" s="63"/>
      <c r="P758" s="63"/>
      <c r="Q758" s="63"/>
      <c r="R758" s="62">
        <v>3422359.1</v>
      </c>
      <c r="S758" s="62">
        <v>5119740.9000000004</v>
      </c>
      <c r="T758" s="63"/>
      <c r="U758" s="63">
        <v>2032.09154058426</v>
      </c>
      <c r="V758" s="63">
        <v>1382.2830200640001</v>
      </c>
      <c r="W758" s="59">
        <v>2024</v>
      </c>
      <c r="X758" s="6"/>
      <c r="Z758" s="62"/>
      <c r="AA758" s="55"/>
      <c r="AB758" s="55"/>
      <c r="AC758" s="55"/>
      <c r="AD758" s="55"/>
      <c r="AE758" s="55"/>
      <c r="AF758" s="55"/>
      <c r="AG758" s="55"/>
      <c r="AH758" s="55"/>
      <c r="AI758" s="55"/>
      <c r="AJ758" s="55"/>
      <c r="AK758" s="55"/>
      <c r="AL758" s="55"/>
      <c r="AM758" s="55"/>
      <c r="AN758" s="63"/>
      <c r="AO758" s="64"/>
      <c r="AP758" s="61">
        <f>+N758-'Приложение №2'!E758</f>
        <v>0</v>
      </c>
      <c r="AQ758" s="65">
        <v>2824228.86</v>
      </c>
      <c r="AR758" s="3">
        <f>+(K758*13.95+L758*23.65)*12*0.85</f>
        <v>598130.24399999995</v>
      </c>
      <c r="AS758" s="3">
        <f>+(K758*13.95+L758*23.65)*12*30</f>
        <v>21110479.199999999</v>
      </c>
      <c r="AT758" s="6">
        <f t="shared" si="200"/>
        <v>-15990738.299999999</v>
      </c>
      <c r="AU758" s="6" t="e">
        <v>#REF!</v>
      </c>
      <c r="AV758" s="6" t="e">
        <v>#REF!</v>
      </c>
      <c r="AW758" s="110">
        <f t="shared" si="197"/>
        <v>8542100</v>
      </c>
      <c r="AX758" s="55"/>
      <c r="AY758" s="55"/>
      <c r="AZ758" s="55"/>
      <c r="BA758" s="55"/>
      <c r="BB758" s="55"/>
      <c r="BC758" s="55"/>
      <c r="BD758" s="55"/>
      <c r="BE758" s="55">
        <v>8024927.0976</v>
      </c>
      <c r="BF758" s="55"/>
      <c r="BG758" s="55"/>
      <c r="BH758" s="55"/>
      <c r="BI758" s="55"/>
      <c r="BJ758" s="55">
        <v>256263</v>
      </c>
      <c r="BK758" s="63">
        <v>85421</v>
      </c>
      <c r="BL758" s="64">
        <v>175488.90239999999</v>
      </c>
      <c r="BM758" s="110">
        <f t="shared" si="198"/>
        <v>8542100</v>
      </c>
      <c r="BN758" s="55"/>
      <c r="BO758" s="55"/>
      <c r="BP758" s="55"/>
      <c r="BQ758" s="55"/>
      <c r="BR758" s="55"/>
      <c r="BS758" s="55"/>
      <c r="BT758" s="55"/>
      <c r="BU758" s="55">
        <v>8024927.0976</v>
      </c>
      <c r="BV758" s="55"/>
      <c r="BW758" s="55"/>
      <c r="BX758" s="55"/>
      <c r="BY758" s="55"/>
      <c r="BZ758" s="55">
        <v>256263</v>
      </c>
      <c r="CA758" s="63">
        <v>85421</v>
      </c>
      <c r="CB758" s="64">
        <v>175488.90239999999</v>
      </c>
      <c r="CD758" s="75"/>
      <c r="CE758" s="6"/>
    </row>
    <row r="759" spans="1:83" s="69" customFormat="1" x14ac:dyDescent="0.25">
      <c r="A759" s="105">
        <f t="shared" si="199"/>
        <v>737</v>
      </c>
      <c r="B759" s="106">
        <f t="shared" si="193"/>
        <v>277</v>
      </c>
      <c r="C759" s="107" t="s">
        <v>224</v>
      </c>
      <c r="D759" s="107" t="s">
        <v>691</v>
      </c>
      <c r="E759" s="128" t="s">
        <v>232</v>
      </c>
      <c r="F759" s="128"/>
      <c r="G759" s="128" t="s">
        <v>64</v>
      </c>
      <c r="H759" s="128" t="s">
        <v>123</v>
      </c>
      <c r="I759" s="128" t="s">
        <v>102</v>
      </c>
      <c r="J759" s="63">
        <v>4698.7</v>
      </c>
      <c r="K759" s="63">
        <v>4088</v>
      </c>
      <c r="L759" s="63">
        <v>0</v>
      </c>
      <c r="M759" s="129">
        <v>152</v>
      </c>
      <c r="N759" s="108">
        <v>13997623.1</v>
      </c>
      <c r="O759" s="63">
        <v>0</v>
      </c>
      <c r="P759" s="63"/>
      <c r="Q759" s="63"/>
      <c r="R759" s="62">
        <v>3479298.62</v>
      </c>
      <c r="S759" s="62">
        <v>10518324.48</v>
      </c>
      <c r="T759" s="63"/>
      <c r="U759" s="63">
        <v>3424.0761005684899</v>
      </c>
      <c r="V759" s="63">
        <v>1383.2830200640001</v>
      </c>
      <c r="W759" s="59">
        <v>2024</v>
      </c>
      <c r="X759" s="69">
        <v>1703986.46</v>
      </c>
      <c r="Y759" s="69">
        <f>+(K759*12.08+L759*20.47)*12</f>
        <v>592596.47999999998</v>
      </c>
      <c r="AA759" s="70" t="e">
        <v>#REF!</v>
      </c>
      <c r="AD759" s="70" t="e">
        <v>#REF!</v>
      </c>
      <c r="AP759" s="61">
        <f>+N759-'Приложение №2'!E759</f>
        <v>8.7599828839302063E-4</v>
      </c>
      <c r="AQ759" s="114">
        <f>2897617.1</f>
        <v>2897617.1</v>
      </c>
      <c r="AR759" s="3">
        <f>+(K759*13.95+L759*23.65)*12*0.85</f>
        <v>581681.5199999999</v>
      </c>
      <c r="AS759" s="3">
        <f>+(K759*13.95+L759*23.65)*12*30</f>
        <v>20529936</v>
      </c>
      <c r="AT759" s="6">
        <f t="shared" si="200"/>
        <v>-10011611.52</v>
      </c>
      <c r="AU759" s="6" t="e">
        <v>#REF!</v>
      </c>
      <c r="AV759" s="6" t="e">
        <v>#REF!</v>
      </c>
      <c r="AW759" s="110">
        <f t="shared" si="197"/>
        <v>13997623.099124001</v>
      </c>
      <c r="AX759" s="55"/>
      <c r="AY759" s="55"/>
      <c r="AZ759" s="55">
        <v>5455523.0991240004</v>
      </c>
      <c r="BA759" s="55"/>
      <c r="BB759" s="55"/>
      <c r="BC759" s="55"/>
      <c r="BD759" s="55"/>
      <c r="BE759" s="55">
        <v>8024927.0976</v>
      </c>
      <c r="BF759" s="55"/>
      <c r="BG759" s="55"/>
      <c r="BH759" s="55"/>
      <c r="BI759" s="55"/>
      <c r="BJ759" s="55">
        <v>256263</v>
      </c>
      <c r="BK759" s="63">
        <v>85421</v>
      </c>
      <c r="BL759" s="64">
        <v>175488.90239999999</v>
      </c>
      <c r="BM759" s="110">
        <f t="shared" si="198"/>
        <v>13997623.099124001</v>
      </c>
      <c r="BN759" s="55"/>
      <c r="BO759" s="55"/>
      <c r="BP759" s="55">
        <v>5455523.0991240004</v>
      </c>
      <c r="BQ759" s="55"/>
      <c r="BR759" s="55"/>
      <c r="BS759" s="55"/>
      <c r="BT759" s="55"/>
      <c r="BU759" s="55">
        <v>8024927.0976</v>
      </c>
      <c r="BV759" s="55"/>
      <c r="BW759" s="55"/>
      <c r="BX759" s="55"/>
      <c r="BY759" s="55"/>
      <c r="BZ759" s="55">
        <v>256263</v>
      </c>
      <c r="CA759" s="63">
        <v>85421</v>
      </c>
      <c r="CB759" s="64">
        <v>175488.90239999999</v>
      </c>
      <c r="CD759" s="75"/>
      <c r="CE759" s="6"/>
    </row>
    <row r="760" spans="1:83" x14ac:dyDescent="0.25">
      <c r="A760" s="105">
        <f t="shared" si="199"/>
        <v>738</v>
      </c>
      <c r="B760" s="106">
        <f t="shared" si="193"/>
        <v>278</v>
      </c>
      <c r="C760" s="107" t="s">
        <v>224</v>
      </c>
      <c r="D760" s="107" t="s">
        <v>417</v>
      </c>
      <c r="E760" s="128">
        <v>1994</v>
      </c>
      <c r="F760" s="128">
        <v>2015</v>
      </c>
      <c r="G760" s="128" t="s">
        <v>64</v>
      </c>
      <c r="H760" s="128">
        <v>9</v>
      </c>
      <c r="I760" s="128">
        <v>4</v>
      </c>
      <c r="J760" s="63">
        <v>9059.2999999999993</v>
      </c>
      <c r="K760" s="63">
        <v>7958.2</v>
      </c>
      <c r="L760" s="63">
        <v>49</v>
      </c>
      <c r="M760" s="129">
        <v>376</v>
      </c>
      <c r="N760" s="108">
        <v>50908301.770000003</v>
      </c>
      <c r="O760" s="63"/>
      <c r="P760" s="62">
        <v>5879369.04</v>
      </c>
      <c r="Q760" s="63"/>
      <c r="R760" s="62">
        <v>2578338.44</v>
      </c>
      <c r="S760" s="62">
        <v>11338783.16</v>
      </c>
      <c r="T760" s="62">
        <v>31111811.129999999</v>
      </c>
      <c r="U760" s="63">
        <v>6396.9618466810898</v>
      </c>
      <c r="V760" s="63">
        <v>1384.2830200640001</v>
      </c>
      <c r="W760" s="59">
        <v>2024</v>
      </c>
      <c r="X760" s="6" t="e">
        <v>#REF!</v>
      </c>
      <c r="Z760" s="62">
        <f t="shared" ref="Z760:Z786" si="201">SUM(AA760:AO760)</f>
        <v>167033614.95999992</v>
      </c>
      <c r="AA760" s="55">
        <v>18497723.436858099</v>
      </c>
      <c r="AB760" s="55">
        <v>12695079.720886501</v>
      </c>
      <c r="AC760" s="55">
        <v>7727724.5646585599</v>
      </c>
      <c r="AD760" s="55">
        <v>6972228.5386101604</v>
      </c>
      <c r="AE760" s="55">
        <v>0</v>
      </c>
      <c r="AF760" s="55"/>
      <c r="AG760" s="55">
        <v>889888.98620160006</v>
      </c>
      <c r="AH760" s="55">
        <v>0</v>
      </c>
      <c r="AI760" s="55">
        <v>0</v>
      </c>
      <c r="AJ760" s="55">
        <v>0</v>
      </c>
      <c r="AK760" s="55">
        <v>78339424.591046199</v>
      </c>
      <c r="AL760" s="55">
        <v>20601575.841979399</v>
      </c>
      <c r="AM760" s="55">
        <v>16452952.1394</v>
      </c>
      <c r="AN760" s="63">
        <v>1670336.1495999999</v>
      </c>
      <c r="AO760" s="64">
        <v>3186680.9907594002</v>
      </c>
      <c r="AP760" s="61">
        <f>+N760-'Приложение №2'!E760</f>
        <v>1.7425268888473511E-3</v>
      </c>
      <c r="AQ760" s="65">
        <f>5650783.47-5939473.29-R350</f>
        <v>-540177.96000000031</v>
      </c>
      <c r="AR760" s="3">
        <f>+(K760*13.95+L760*23.65)*12*0.85</f>
        <v>1144192.548</v>
      </c>
      <c r="AS760" s="3">
        <f>+(K760*13.95+L760*23.65)*12*30-S350</f>
        <v>34890138.89625942</v>
      </c>
      <c r="AT760" s="6">
        <f t="shared" si="200"/>
        <v>-23551355.736259419</v>
      </c>
      <c r="AU760" s="6" t="e">
        <v>#REF!</v>
      </c>
      <c r="AV760" s="6" t="e">
        <v>#REF!</v>
      </c>
      <c r="AW760" s="110">
        <f t="shared" si="197"/>
        <v>50908301.768257476</v>
      </c>
      <c r="AX760" s="55">
        <v>18516250.1895798</v>
      </c>
      <c r="AY760" s="55">
        <v>12707765.9897027</v>
      </c>
      <c r="AZ760" s="55"/>
      <c r="BA760" s="55">
        <v>7854168.2699999996</v>
      </c>
      <c r="BB760" s="55">
        <v>0</v>
      </c>
      <c r="BC760" s="55"/>
      <c r="BD760" s="55">
        <v>890798.91763439798</v>
      </c>
      <c r="BE760" s="55">
        <v>8024927.0976</v>
      </c>
      <c r="BF760" s="55">
        <v>0</v>
      </c>
      <c r="BG760" s="55">
        <v>0</v>
      </c>
      <c r="BH760" s="55"/>
      <c r="BI760" s="55">
        <v>0</v>
      </c>
      <c r="BJ760" s="55"/>
      <c r="BK760" s="63"/>
      <c r="BL760" s="64">
        <v>2914391.3037405801</v>
      </c>
      <c r="BM760" s="110">
        <f t="shared" si="198"/>
        <v>50908301.768257476</v>
      </c>
      <c r="BN760" s="55">
        <v>18516250.1895798</v>
      </c>
      <c r="BO760" s="55">
        <v>12707765.9897027</v>
      </c>
      <c r="BP760" s="55"/>
      <c r="BQ760" s="55">
        <v>7854168.2699999996</v>
      </c>
      <c r="BR760" s="55">
        <v>0</v>
      </c>
      <c r="BS760" s="55"/>
      <c r="BT760" s="55">
        <v>890798.91763439798</v>
      </c>
      <c r="BU760" s="55">
        <v>8024927.0976</v>
      </c>
      <c r="BV760" s="55">
        <v>0</v>
      </c>
      <c r="BW760" s="55">
        <v>0</v>
      </c>
      <c r="BX760" s="55"/>
      <c r="BY760" s="55">
        <v>0</v>
      </c>
      <c r="BZ760" s="55"/>
      <c r="CA760" s="63"/>
      <c r="CB760" s="64">
        <v>2914391.3037405801</v>
      </c>
      <c r="CD760" s="75"/>
      <c r="CE760" s="6"/>
    </row>
    <row r="761" spans="1:83" x14ac:dyDescent="0.25">
      <c r="A761" s="105">
        <f t="shared" si="199"/>
        <v>739</v>
      </c>
      <c r="B761" s="106">
        <f t="shared" si="193"/>
        <v>279</v>
      </c>
      <c r="C761" s="53" t="s">
        <v>224</v>
      </c>
      <c r="D761" s="53" t="s">
        <v>227</v>
      </c>
      <c r="E761" s="54">
        <v>1989</v>
      </c>
      <c r="F761" s="54">
        <v>2014</v>
      </c>
      <c r="G761" s="54" t="s">
        <v>64</v>
      </c>
      <c r="H761" s="54">
        <v>9</v>
      </c>
      <c r="I761" s="54">
        <v>3</v>
      </c>
      <c r="J761" s="55">
        <v>6626.1</v>
      </c>
      <c r="K761" s="55">
        <v>6102.5</v>
      </c>
      <c r="L761" s="55">
        <v>67.8</v>
      </c>
      <c r="M761" s="56">
        <v>265</v>
      </c>
      <c r="N761" s="112">
        <v>17478082.780000001</v>
      </c>
      <c r="O761" s="63"/>
      <c r="P761" s="62">
        <v>6081911.9199999999</v>
      </c>
      <c r="Q761" s="63"/>
      <c r="R761" s="62">
        <v>3009205.1</v>
      </c>
      <c r="S761" s="63"/>
      <c r="T761" s="62">
        <v>8386965.7599999998</v>
      </c>
      <c r="U761" s="63">
        <v>3812.0594102356699</v>
      </c>
      <c r="V761" s="63">
        <v>3812.0594102356699</v>
      </c>
      <c r="W761" s="59">
        <v>2024</v>
      </c>
      <c r="X761" s="6" t="e">
        <v>#REF!</v>
      </c>
      <c r="Z761" s="62">
        <f t="shared" si="201"/>
        <v>133828117.43999989</v>
      </c>
      <c r="AA761" s="55">
        <v>13963940.4881831</v>
      </c>
      <c r="AB761" s="55">
        <v>9583521.8977096193</v>
      </c>
      <c r="AC761" s="55">
        <v>5833663.0608244799</v>
      </c>
      <c r="AD761" s="55">
        <v>5263338.7413885603</v>
      </c>
      <c r="AE761" s="55">
        <v>0</v>
      </c>
      <c r="AF761" s="55"/>
      <c r="AG761" s="55">
        <v>671777.6317728</v>
      </c>
      <c r="AH761" s="55">
        <v>0</v>
      </c>
      <c r="AI761" s="55">
        <v>6811959.918141</v>
      </c>
      <c r="AJ761" s="55">
        <v>0</v>
      </c>
      <c r="AK761" s="55">
        <v>59138470.018736601</v>
      </c>
      <c r="AL761" s="55">
        <v>15552139.698891999</v>
      </c>
      <c r="AM761" s="55">
        <v>13116434.001499999</v>
      </c>
      <c r="AN761" s="63">
        <v>1338281.1743999999</v>
      </c>
      <c r="AO761" s="64">
        <v>2554590.8084517401</v>
      </c>
      <c r="AP761" s="61">
        <f>+N761-'Приложение №2'!E761</f>
        <v>-8.8309869170188904E-4</v>
      </c>
      <c r="AQ761" s="65">
        <f>3444334.74-R522</f>
        <v>1857367.3500000003</v>
      </c>
      <c r="AR761" s="3">
        <f>+(K761*13.29+L761*22.52)*12*0.85</f>
        <v>842816.62619999982</v>
      </c>
      <c r="AS761" s="3">
        <f>+(K761*13.29+L761*22.52)*12*30-S522</f>
        <v>27408173.259999998</v>
      </c>
      <c r="AT761" s="6">
        <f t="shared" si="200"/>
        <v>-27408173.259999998</v>
      </c>
      <c r="AU761" s="6" t="e">
        <v>#REF!</v>
      </c>
      <c r="AV761" s="6" t="e">
        <v>#REF!</v>
      </c>
      <c r="AW761" s="62">
        <f t="shared" si="197"/>
        <v>23521550.178977102</v>
      </c>
      <c r="AX761" s="55">
        <v>13963940.4881831</v>
      </c>
      <c r="BA761" s="55">
        <v>6043467.3980940003</v>
      </c>
      <c r="BB761" s="55">
        <v>0</v>
      </c>
      <c r="BC761" s="55"/>
      <c r="BD761" s="55">
        <v>671777.6317728</v>
      </c>
      <c r="BE761" s="55">
        <v>0</v>
      </c>
      <c r="BG761" s="55">
        <v>0</v>
      </c>
      <c r="BH761" s="55"/>
      <c r="BI761" s="55"/>
      <c r="BJ761" s="55"/>
      <c r="BK761" s="63"/>
      <c r="BL761" s="111">
        <v>2842364.6609272002</v>
      </c>
      <c r="BM761" s="62">
        <f t="shared" si="198"/>
        <v>23521550.178977102</v>
      </c>
      <c r="BN761" s="55">
        <v>13963940.4881831</v>
      </c>
      <c r="BQ761" s="55">
        <v>6043467.3980940003</v>
      </c>
      <c r="BR761" s="55">
        <v>0</v>
      </c>
      <c r="BS761" s="55"/>
      <c r="BT761" s="55">
        <v>671777.6317728</v>
      </c>
      <c r="BU761" s="55">
        <v>0</v>
      </c>
      <c r="BW761" s="55">
        <v>0</v>
      </c>
      <c r="BX761" s="55"/>
      <c r="BY761" s="55"/>
      <c r="BZ761" s="55"/>
      <c r="CA761" s="63"/>
      <c r="CB761" s="64">
        <v>2842364.6609272002</v>
      </c>
      <c r="CD761" s="75"/>
      <c r="CE761" s="6"/>
    </row>
    <row r="762" spans="1:83" x14ac:dyDescent="0.25">
      <c r="A762" s="105">
        <f t="shared" si="199"/>
        <v>740</v>
      </c>
      <c r="B762" s="106">
        <f t="shared" si="193"/>
        <v>280</v>
      </c>
      <c r="C762" s="107" t="s">
        <v>224</v>
      </c>
      <c r="D762" s="107" t="s">
        <v>692</v>
      </c>
      <c r="E762" s="128">
        <v>1974</v>
      </c>
      <c r="F762" s="128">
        <v>2004</v>
      </c>
      <c r="G762" s="128" t="s">
        <v>64</v>
      </c>
      <c r="H762" s="128">
        <v>9</v>
      </c>
      <c r="I762" s="128">
        <v>1</v>
      </c>
      <c r="J762" s="63">
        <v>2145.6</v>
      </c>
      <c r="K762" s="63">
        <v>1882.91</v>
      </c>
      <c r="L762" s="63">
        <v>0</v>
      </c>
      <c r="M762" s="129">
        <v>77</v>
      </c>
      <c r="N762" s="108">
        <v>14592894.300000001</v>
      </c>
      <c r="O762" s="63"/>
      <c r="P762" s="62">
        <v>1633456.46</v>
      </c>
      <c r="Q762" s="63"/>
      <c r="R762" s="62">
        <v>1074656.2</v>
      </c>
      <c r="S762" s="62">
        <v>9008594.5999999996</v>
      </c>
      <c r="T762" s="62">
        <v>2876187.04</v>
      </c>
      <c r="U762" s="63">
        <v>7750.1815300784401</v>
      </c>
      <c r="V762" s="63">
        <v>7750.1815300784401</v>
      </c>
      <c r="W762" s="59">
        <v>2024</v>
      </c>
      <c r="X762" s="6" t="e">
        <v>#REF!</v>
      </c>
      <c r="Z762" s="62">
        <f t="shared" si="201"/>
        <v>14974764.26</v>
      </c>
      <c r="AA762" s="55">
        <v>4349966.5649949601</v>
      </c>
      <c r="AB762" s="55">
        <v>2985403.71589782</v>
      </c>
      <c r="AC762" s="55">
        <v>1817269.2196583401</v>
      </c>
      <c r="AD762" s="55">
        <v>1639605.0614672401</v>
      </c>
      <c r="AE762" s="55">
        <v>0</v>
      </c>
      <c r="AF762" s="55"/>
      <c r="AG762" s="55">
        <v>209268.31068528001</v>
      </c>
      <c r="AH762" s="55">
        <v>0</v>
      </c>
      <c r="AI762" s="55">
        <v>2122022.6416493999</v>
      </c>
      <c r="AJ762" s="55">
        <v>0</v>
      </c>
      <c r="AK762" s="55">
        <v>0</v>
      </c>
      <c r="AL762" s="55">
        <v>0</v>
      </c>
      <c r="AM762" s="55">
        <v>1414495.9609999999</v>
      </c>
      <c r="AN762" s="63">
        <v>149747.64259999999</v>
      </c>
      <c r="AO762" s="64">
        <v>286985.14204696001</v>
      </c>
      <c r="AP762" s="61">
        <f>+N762-'Приложение №2'!E762</f>
        <v>-4.7999992966651917E-3</v>
      </c>
      <c r="AQ762" s="1">
        <v>819412.69</v>
      </c>
      <c r="AR762" s="3">
        <f>+(K762*13.29+L762*22.52)*12*0.85</f>
        <v>255243.51377999995</v>
      </c>
      <c r="AS762" s="3">
        <f>+(K762*13.29+L762*22.52)*12*30</f>
        <v>9008594.6039999984</v>
      </c>
      <c r="AT762" s="6">
        <f t="shared" si="200"/>
        <v>-3.9999987930059433E-3</v>
      </c>
      <c r="AU762" s="6" t="e">
        <v>#REF!</v>
      </c>
      <c r="AV762" s="6" t="e">
        <v>#REF!</v>
      </c>
      <c r="AW762" s="62">
        <f t="shared" si="197"/>
        <v>14592894.3048</v>
      </c>
      <c r="AX762" s="55">
        <v>4695224.6562059997</v>
      </c>
      <c r="AY762" s="55">
        <v>3264310.7159879999</v>
      </c>
      <c r="AZ762" s="55">
        <v>1988887.4398680001</v>
      </c>
      <c r="BA762" s="55">
        <v>1830087.6300840001</v>
      </c>
      <c r="BB762" s="55">
        <v>0</v>
      </c>
      <c r="BC762" s="55"/>
      <c r="BD762" s="55">
        <v>209268.31068528001</v>
      </c>
      <c r="BE762" s="55">
        <v>0</v>
      </c>
      <c r="BF762" s="55">
        <v>2292827.6138459998</v>
      </c>
      <c r="BG762" s="55">
        <v>0</v>
      </c>
      <c r="BH762" s="55">
        <v>0</v>
      </c>
      <c r="BI762" s="55">
        <v>0</v>
      </c>
      <c r="BJ762" s="55"/>
      <c r="BK762" s="63"/>
      <c r="BL762" s="64">
        <v>312287.93812271999</v>
      </c>
      <c r="BM762" s="62">
        <f t="shared" si="198"/>
        <v>14592894.3048</v>
      </c>
      <c r="BN762" s="55">
        <v>4695224.6562059997</v>
      </c>
      <c r="BO762" s="55">
        <v>3264310.7159879999</v>
      </c>
      <c r="BP762" s="55">
        <v>1988887.4398680001</v>
      </c>
      <c r="BQ762" s="55">
        <v>1830087.6300840001</v>
      </c>
      <c r="BR762" s="55">
        <v>0</v>
      </c>
      <c r="BS762" s="55"/>
      <c r="BT762" s="55">
        <v>209268.31068528001</v>
      </c>
      <c r="BU762" s="55">
        <v>0</v>
      </c>
      <c r="BV762" s="55">
        <v>2292827.6138459998</v>
      </c>
      <c r="BW762" s="55">
        <v>0</v>
      </c>
      <c r="BX762" s="55">
        <v>0</v>
      </c>
      <c r="BY762" s="55">
        <v>0</v>
      </c>
      <c r="BZ762" s="55"/>
      <c r="CA762" s="63"/>
      <c r="CB762" s="64">
        <v>312287.93812271999</v>
      </c>
      <c r="CD762" s="75"/>
      <c r="CE762" s="6"/>
    </row>
    <row r="763" spans="1:83" x14ac:dyDescent="0.25">
      <c r="A763" s="105">
        <f t="shared" si="199"/>
        <v>741</v>
      </c>
      <c r="B763" s="106">
        <f t="shared" si="193"/>
        <v>281</v>
      </c>
      <c r="C763" s="107" t="s">
        <v>224</v>
      </c>
      <c r="D763" s="107" t="s">
        <v>693</v>
      </c>
      <c r="E763" s="128">
        <v>1974</v>
      </c>
      <c r="F763" s="128">
        <v>2013</v>
      </c>
      <c r="G763" s="128" t="s">
        <v>64</v>
      </c>
      <c r="H763" s="128">
        <v>9</v>
      </c>
      <c r="I763" s="128">
        <v>1</v>
      </c>
      <c r="J763" s="63">
        <v>2145.6</v>
      </c>
      <c r="K763" s="63">
        <v>1951.96</v>
      </c>
      <c r="L763" s="63">
        <v>44</v>
      </c>
      <c r="M763" s="129">
        <v>70</v>
      </c>
      <c r="N763" s="108">
        <v>2454764.31</v>
      </c>
      <c r="O763" s="63"/>
      <c r="P763" s="63"/>
      <c r="Q763" s="63"/>
      <c r="R763" s="62">
        <v>1738667.62</v>
      </c>
      <c r="S763" s="62">
        <v>716096.69</v>
      </c>
      <c r="T763" s="63"/>
      <c r="U763" s="63">
        <v>1180.96648496895</v>
      </c>
      <c r="V763" s="63">
        <v>1385.2830200640001</v>
      </c>
      <c r="W763" s="59">
        <v>2024</v>
      </c>
      <c r="X763" s="6" t="e">
        <v>#REF!</v>
      </c>
      <c r="Z763" s="62">
        <f t="shared" si="201"/>
        <v>2561332.5999999996</v>
      </c>
      <c r="AA763" s="55">
        <v>0</v>
      </c>
      <c r="AB763" s="55">
        <v>0</v>
      </c>
      <c r="AC763" s="55">
        <v>0</v>
      </c>
      <c r="AD763" s="55">
        <v>0</v>
      </c>
      <c r="AE763" s="55">
        <v>0</v>
      </c>
      <c r="AF763" s="55"/>
      <c r="AG763" s="55">
        <v>0</v>
      </c>
      <c r="AH763" s="55">
        <v>0</v>
      </c>
      <c r="AI763" s="55">
        <v>2255868.074124</v>
      </c>
      <c r="AJ763" s="55">
        <v>0</v>
      </c>
      <c r="AK763" s="55">
        <v>0</v>
      </c>
      <c r="AL763" s="55">
        <v>0</v>
      </c>
      <c r="AM763" s="55">
        <v>230519.93400000001</v>
      </c>
      <c r="AN763" s="63">
        <v>25613.326000000001</v>
      </c>
      <c r="AO763" s="64">
        <v>49331.265875999998</v>
      </c>
      <c r="AP763" s="61">
        <f>+N763-'Приложение №2'!E763</f>
        <v>4.1240002028644085E-3</v>
      </c>
      <c r="AQ763" s="65">
        <v>1450309.11</v>
      </c>
      <c r="AR763" s="3">
        <f>+(K763*13.95+L763*23.65)*12*0.85</f>
        <v>288358.50839999999</v>
      </c>
      <c r="AS763" s="3">
        <f>+(K763*13.95+L763*23.65)*12*30</f>
        <v>10177359.120000001</v>
      </c>
      <c r="AT763" s="6">
        <f t="shared" si="200"/>
        <v>-9461262.4300000016</v>
      </c>
      <c r="AU763" s="6" t="e">
        <v>#REF!</v>
      </c>
      <c r="AV763" s="6" t="e">
        <v>#REF!</v>
      </c>
      <c r="AW763" s="110">
        <f t="shared" si="197"/>
        <v>2305199.34</v>
      </c>
      <c r="AX763" s="55">
        <v>0</v>
      </c>
      <c r="AY763" s="55">
        <v>0</v>
      </c>
      <c r="AZ763" s="55">
        <v>0</v>
      </c>
      <c r="BA763" s="55">
        <v>0</v>
      </c>
      <c r="BB763" s="55">
        <v>0</v>
      </c>
      <c r="BC763" s="55"/>
      <c r="BD763" s="55"/>
      <c r="BE763" s="55">
        <v>0</v>
      </c>
      <c r="BF763" s="55">
        <v>2255868.074124</v>
      </c>
      <c r="BG763" s="55">
        <v>0</v>
      </c>
      <c r="BH763" s="55">
        <v>0</v>
      </c>
      <c r="BI763" s="55">
        <v>0</v>
      </c>
      <c r="BJ763" s="55"/>
      <c r="BK763" s="63"/>
      <c r="BL763" s="64">
        <v>49331.265875999998</v>
      </c>
      <c r="BM763" s="110">
        <f t="shared" si="198"/>
        <v>2305199.34</v>
      </c>
      <c r="BN763" s="55">
        <v>0</v>
      </c>
      <c r="BO763" s="55">
        <v>0</v>
      </c>
      <c r="BP763" s="55">
        <v>0</v>
      </c>
      <c r="BQ763" s="55">
        <v>0</v>
      </c>
      <c r="BR763" s="55">
        <v>0</v>
      </c>
      <c r="BS763" s="55"/>
      <c r="BT763" s="55"/>
      <c r="BU763" s="55">
        <v>0</v>
      </c>
      <c r="BV763" s="55">
        <v>2255868.074124</v>
      </c>
      <c r="BW763" s="55">
        <v>0</v>
      </c>
      <c r="BX763" s="55">
        <v>0</v>
      </c>
      <c r="BY763" s="55">
        <v>0</v>
      </c>
      <c r="BZ763" s="55"/>
      <c r="CA763" s="63"/>
      <c r="CB763" s="64">
        <v>49331.265875999998</v>
      </c>
      <c r="CD763" s="75"/>
      <c r="CE763" s="6"/>
    </row>
    <row r="764" spans="1:83" x14ac:dyDescent="0.25">
      <c r="A764" s="105">
        <f t="shared" si="199"/>
        <v>742</v>
      </c>
      <c r="B764" s="106">
        <f t="shared" si="193"/>
        <v>282</v>
      </c>
      <c r="C764" s="107" t="s">
        <v>224</v>
      </c>
      <c r="D764" s="107" t="s">
        <v>694</v>
      </c>
      <c r="E764" s="128">
        <v>1973</v>
      </c>
      <c r="F764" s="128">
        <v>2004</v>
      </c>
      <c r="G764" s="128" t="s">
        <v>64</v>
      </c>
      <c r="H764" s="128">
        <v>9</v>
      </c>
      <c r="I764" s="128">
        <v>1</v>
      </c>
      <c r="J764" s="63">
        <v>2255.5</v>
      </c>
      <c r="K764" s="63">
        <v>1988.05</v>
      </c>
      <c r="L764" s="63">
        <v>0</v>
      </c>
      <c r="M764" s="129">
        <v>92</v>
      </c>
      <c r="N764" s="108">
        <v>2471396.1</v>
      </c>
      <c r="O764" s="63"/>
      <c r="P764" s="63"/>
      <c r="Q764" s="63"/>
      <c r="R764" s="62">
        <v>1371899.61</v>
      </c>
      <c r="S764" s="62">
        <v>1099496.49</v>
      </c>
      <c r="T764" s="63"/>
      <c r="U764" s="63">
        <v>1243.1257262141301</v>
      </c>
      <c r="V764" s="63">
        <v>1243.1257262141301</v>
      </c>
      <c r="W764" s="59">
        <v>2024</v>
      </c>
      <c r="X764" s="6" t="e">
        <v>#REF!</v>
      </c>
      <c r="Z764" s="62">
        <f t="shared" si="201"/>
        <v>2546718.4499999997</v>
      </c>
      <c r="AA764" s="55">
        <v>0</v>
      </c>
      <c r="AB764" s="55">
        <v>0</v>
      </c>
      <c r="AC764" s="55">
        <v>0</v>
      </c>
      <c r="AD764" s="55">
        <v>0</v>
      </c>
      <c r="AE764" s="55">
        <v>0</v>
      </c>
      <c r="AF764" s="55"/>
      <c r="AG764" s="55">
        <v>0</v>
      </c>
      <c r="AH764" s="55">
        <v>0</v>
      </c>
      <c r="AI764" s="55">
        <v>2242996.8076530001</v>
      </c>
      <c r="AJ764" s="55">
        <v>0</v>
      </c>
      <c r="AK764" s="55">
        <v>0</v>
      </c>
      <c r="AL764" s="55">
        <v>0</v>
      </c>
      <c r="AM764" s="55">
        <v>229204.6605</v>
      </c>
      <c r="AN764" s="63">
        <v>25467.184499999999</v>
      </c>
      <c r="AO764" s="64">
        <v>49049.797347</v>
      </c>
      <c r="AP764" s="61">
        <f>+N764-'Приложение №2'!E764</f>
        <v>0</v>
      </c>
      <c r="AQ764" s="1">
        <v>1102403.53</v>
      </c>
      <c r="AR764" s="3">
        <f>+(K764*13.29+L764*22.52)*12*0.85</f>
        <v>269496.08189999999</v>
      </c>
      <c r="AS764" s="3">
        <f>+(K764*13.29+L764*22.52)*12*30</f>
        <v>9511626.4199999999</v>
      </c>
      <c r="AT764" s="6">
        <f t="shared" si="200"/>
        <v>-8412129.9299999997</v>
      </c>
      <c r="AU764" s="6" t="e">
        <v>#REF!</v>
      </c>
      <c r="AV764" s="6" t="e">
        <v>#REF!</v>
      </c>
      <c r="AW764" s="62">
        <f t="shared" si="197"/>
        <v>2471396.1</v>
      </c>
      <c r="AX764" s="55">
        <v>0</v>
      </c>
      <c r="AY764" s="55">
        <v>0</v>
      </c>
      <c r="AZ764" s="55">
        <v>0</v>
      </c>
      <c r="BA764" s="55">
        <v>0</v>
      </c>
      <c r="BB764" s="55">
        <v>0</v>
      </c>
      <c r="BC764" s="55"/>
      <c r="BD764" s="55"/>
      <c r="BE764" s="55">
        <v>0</v>
      </c>
      <c r="BF764" s="55">
        <v>2418508.22346</v>
      </c>
      <c r="BG764" s="55">
        <v>0</v>
      </c>
      <c r="BH764" s="55">
        <v>0</v>
      </c>
      <c r="BI764" s="55">
        <v>0</v>
      </c>
      <c r="BJ764" s="55"/>
      <c r="BK764" s="63"/>
      <c r="BL764" s="64">
        <v>52887.876539999997</v>
      </c>
      <c r="BM764" s="62">
        <f t="shared" si="198"/>
        <v>2471396.1</v>
      </c>
      <c r="BN764" s="55">
        <v>0</v>
      </c>
      <c r="BO764" s="55">
        <v>0</v>
      </c>
      <c r="BP764" s="55">
        <v>0</v>
      </c>
      <c r="BQ764" s="55">
        <v>0</v>
      </c>
      <c r="BR764" s="55">
        <v>0</v>
      </c>
      <c r="BS764" s="55"/>
      <c r="BT764" s="55"/>
      <c r="BU764" s="55">
        <v>0</v>
      </c>
      <c r="BV764" s="55">
        <v>2418508.22346</v>
      </c>
      <c r="BW764" s="55">
        <v>0</v>
      </c>
      <c r="BX764" s="55">
        <v>0</v>
      </c>
      <c r="BY764" s="55">
        <v>0</v>
      </c>
      <c r="BZ764" s="55"/>
      <c r="CA764" s="63"/>
      <c r="CB764" s="64">
        <v>52887.876539999997</v>
      </c>
      <c r="CD764" s="75"/>
      <c r="CE764" s="6"/>
    </row>
    <row r="765" spans="1:83" x14ac:dyDescent="0.25">
      <c r="A765" s="105">
        <f t="shared" si="199"/>
        <v>743</v>
      </c>
      <c r="B765" s="106">
        <f t="shared" si="193"/>
        <v>283</v>
      </c>
      <c r="C765" s="107" t="s">
        <v>224</v>
      </c>
      <c r="D765" s="107" t="s">
        <v>695</v>
      </c>
      <c r="E765" s="128">
        <v>1993</v>
      </c>
      <c r="F765" s="128">
        <v>2009</v>
      </c>
      <c r="G765" s="128" t="s">
        <v>64</v>
      </c>
      <c r="H765" s="128">
        <v>9</v>
      </c>
      <c r="I765" s="128">
        <v>1</v>
      </c>
      <c r="J765" s="63">
        <v>2345</v>
      </c>
      <c r="K765" s="63">
        <v>1959.1</v>
      </c>
      <c r="L765" s="63">
        <v>0</v>
      </c>
      <c r="M765" s="129">
        <v>80</v>
      </c>
      <c r="N765" s="108">
        <v>16319133.119999999</v>
      </c>
      <c r="O765" s="63"/>
      <c r="P765" s="62">
        <v>1497757.05</v>
      </c>
      <c r="Q765" s="63"/>
      <c r="R765" s="62">
        <v>1719991</v>
      </c>
      <c r="S765" s="62">
        <v>9489370.75</v>
      </c>
      <c r="T765" s="62">
        <v>3612014.32</v>
      </c>
      <c r="U765" s="63">
        <v>5613.6329056046097</v>
      </c>
      <c r="V765" s="63">
        <v>1394.2830200640001</v>
      </c>
      <c r="W765" s="59">
        <v>2024</v>
      </c>
      <c r="X765" s="6" t="e">
        <v>#REF!</v>
      </c>
      <c r="Z765" s="62">
        <f t="shared" si="201"/>
        <v>41352125.80999998</v>
      </c>
      <c r="AA765" s="55">
        <v>4542107.7549229199</v>
      </c>
      <c r="AB765" s="55">
        <v>3117271.1769023999</v>
      </c>
      <c r="AC765" s="55">
        <v>0</v>
      </c>
      <c r="AD765" s="55">
        <v>1712027.61216396</v>
      </c>
      <c r="AE765" s="55">
        <v>0</v>
      </c>
      <c r="AF765" s="55"/>
      <c r="AG765" s="55">
        <v>218511.8445216</v>
      </c>
      <c r="AH765" s="55">
        <v>0</v>
      </c>
      <c r="AI765" s="55">
        <v>2215753.9253135999</v>
      </c>
      <c r="AJ765" s="55">
        <v>0</v>
      </c>
      <c r="AK765" s="55">
        <v>19236210.842486799</v>
      </c>
      <c r="AL765" s="55">
        <v>5058707.7793799397</v>
      </c>
      <c r="AM765" s="55">
        <v>4048566.8084999998</v>
      </c>
      <c r="AN765" s="63">
        <v>413521.25809999998</v>
      </c>
      <c r="AO765" s="64">
        <v>789446.80770876002</v>
      </c>
      <c r="AP765" s="61">
        <f>+N765-'Приложение №2'!E765</f>
        <v>3.9999987930059433E-3</v>
      </c>
      <c r="AQ765" s="65" t="e">
        <f>1441230.66-#REF!</f>
        <v>#REF!</v>
      </c>
      <c r="AR765" s="3">
        <f>+(K765*13.95+L765*23.65)*12*0.85</f>
        <v>278760.33899999998</v>
      </c>
      <c r="AS765" s="3" t="e">
        <f>+(K765*13.95+L765*23.65)*12*30-#REF!</f>
        <v>#REF!</v>
      </c>
      <c r="AT765" s="6" t="e">
        <f t="shared" si="200"/>
        <v>#REF!</v>
      </c>
      <c r="AU765" s="6" t="e">
        <v>#REF!</v>
      </c>
      <c r="AV765" s="6" t="e">
        <v>#REF!</v>
      </c>
      <c r="AW765" s="110">
        <f t="shared" si="197"/>
        <v>10997668.225369999</v>
      </c>
      <c r="AX765" s="55">
        <v>4903713.1158539997</v>
      </c>
      <c r="AY765" s="55"/>
      <c r="AZ765" s="55">
        <v>0</v>
      </c>
      <c r="BA765" s="55"/>
      <c r="BB765" s="55">
        <v>0</v>
      </c>
      <c r="BC765" s="55"/>
      <c r="BD765" s="55">
        <v>218511.8445216</v>
      </c>
      <c r="BE765" s="55">
        <v>0</v>
      </c>
      <c r="BF765" s="55"/>
      <c r="BG765" s="55"/>
      <c r="BH765" s="55"/>
      <c r="BI765" s="55">
        <v>5526213.8163120002</v>
      </c>
      <c r="BJ765" s="55"/>
      <c r="BK765" s="63"/>
      <c r="BL765" s="64">
        <v>349229.44868239999</v>
      </c>
      <c r="BM765" s="110">
        <f t="shared" si="198"/>
        <v>10997668.225369999</v>
      </c>
      <c r="BN765" s="55">
        <v>4903713.1158539997</v>
      </c>
      <c r="BO765" s="55"/>
      <c r="BP765" s="55">
        <v>0</v>
      </c>
      <c r="BQ765" s="55"/>
      <c r="BR765" s="55">
        <v>0</v>
      </c>
      <c r="BS765" s="55"/>
      <c r="BT765" s="55">
        <v>218511.8445216</v>
      </c>
      <c r="BU765" s="55">
        <v>0</v>
      </c>
      <c r="BV765" s="55"/>
      <c r="BW765" s="55"/>
      <c r="BX765" s="55"/>
      <c r="BY765" s="55">
        <v>5526213.8163120002</v>
      </c>
      <c r="BZ765" s="55"/>
      <c r="CA765" s="63"/>
      <c r="CB765" s="64">
        <v>349229.44868239999</v>
      </c>
      <c r="CD765" s="75"/>
      <c r="CE765" s="6"/>
    </row>
    <row r="766" spans="1:83" x14ac:dyDescent="0.25">
      <c r="A766" s="105">
        <f t="shared" si="199"/>
        <v>744</v>
      </c>
      <c r="B766" s="106">
        <f t="shared" si="193"/>
        <v>284</v>
      </c>
      <c r="C766" s="107" t="s">
        <v>224</v>
      </c>
      <c r="D766" s="107" t="s">
        <v>696</v>
      </c>
      <c r="E766" s="128">
        <v>1968</v>
      </c>
      <c r="F766" s="128">
        <v>2015</v>
      </c>
      <c r="G766" s="128" t="s">
        <v>64</v>
      </c>
      <c r="H766" s="128">
        <v>4</v>
      </c>
      <c r="I766" s="128">
        <v>4</v>
      </c>
      <c r="J766" s="63">
        <v>2529.1</v>
      </c>
      <c r="K766" s="63">
        <v>2238.1</v>
      </c>
      <c r="L766" s="63">
        <v>227.2</v>
      </c>
      <c r="M766" s="129">
        <v>104</v>
      </c>
      <c r="N766" s="108">
        <v>24900086.32</v>
      </c>
      <c r="O766" s="63"/>
      <c r="P766" s="62">
        <v>3007275.97</v>
      </c>
      <c r="Q766" s="63"/>
      <c r="R766" s="62">
        <v>1742836.93</v>
      </c>
      <c r="S766" s="62">
        <v>10177650</v>
      </c>
      <c r="T766" s="62">
        <v>9972323.4199999999</v>
      </c>
      <c r="U766" s="63">
        <v>11125.5468141852</v>
      </c>
      <c r="V766" s="63">
        <v>1386.2830200640001</v>
      </c>
      <c r="W766" s="59">
        <v>2024</v>
      </c>
      <c r="X766" s="6" t="e">
        <v>#REF!</v>
      </c>
      <c r="Z766" s="62">
        <f t="shared" si="201"/>
        <v>29885518.550000001</v>
      </c>
      <c r="AA766" s="55">
        <v>6731956.0892438404</v>
      </c>
      <c r="AB766" s="55">
        <v>2468626.27801314</v>
      </c>
      <c r="AC766" s="55">
        <v>2579135.1598849199</v>
      </c>
      <c r="AD766" s="55">
        <v>1614732.13773312</v>
      </c>
      <c r="AE766" s="55">
        <v>0</v>
      </c>
      <c r="AF766" s="55"/>
      <c r="AG766" s="55">
        <v>222240.79473287999</v>
      </c>
      <c r="AH766" s="55">
        <v>0</v>
      </c>
      <c r="AI766" s="55">
        <v>12664980.5522436</v>
      </c>
      <c r="AJ766" s="55">
        <v>0</v>
      </c>
      <c r="AK766" s="55">
        <v>0</v>
      </c>
      <c r="AL766" s="55">
        <v>0</v>
      </c>
      <c r="AM766" s="55">
        <v>2730265.4369999999</v>
      </c>
      <c r="AN766" s="63">
        <v>298855.18550000002</v>
      </c>
      <c r="AO766" s="64">
        <v>574726.91564849997</v>
      </c>
      <c r="AP766" s="61">
        <f>+N766-'Приложение №2'!E766</f>
        <v>-4.8280023038387299E-3</v>
      </c>
      <c r="AQ766" s="6">
        <f>1454470.18</f>
        <v>1454470.18</v>
      </c>
      <c r="AR766" s="3">
        <f>+(K766*10.5+L766*21)*12*0.85</f>
        <v>288366.75</v>
      </c>
      <c r="AS766" s="3">
        <f>+(K766*10.5+L766*21)*12*30</f>
        <v>10177650</v>
      </c>
      <c r="AT766" s="6">
        <f t="shared" si="200"/>
        <v>0</v>
      </c>
      <c r="AU766" s="6" t="e">
        <v>#REF!</v>
      </c>
      <c r="AV766" s="6" t="e">
        <v>#REF!</v>
      </c>
      <c r="AW766" s="110">
        <f t="shared" si="197"/>
        <v>24900086.324828003</v>
      </c>
      <c r="AX766" s="55">
        <v>7338416.0047800001</v>
      </c>
      <c r="AY766" s="55"/>
      <c r="AZ766" s="55">
        <v>2862800.1293219998</v>
      </c>
      <c r="BA766" s="55"/>
      <c r="BB766" s="55">
        <v>0</v>
      </c>
      <c r="BC766" s="55"/>
      <c r="BD766" s="55">
        <v>222240.79473287999</v>
      </c>
      <c r="BE766" s="55">
        <v>0</v>
      </c>
      <c r="BF766" s="55">
        <v>14005782.708666001</v>
      </c>
      <c r="BG766" s="55">
        <v>0</v>
      </c>
      <c r="BH766" s="55">
        <v>0</v>
      </c>
      <c r="BI766" s="55">
        <v>0</v>
      </c>
      <c r="BJ766" s="55"/>
      <c r="BK766" s="63"/>
      <c r="BL766" s="64">
        <v>470846.68732711999</v>
      </c>
      <c r="BM766" s="110">
        <f t="shared" si="198"/>
        <v>24900086.324828003</v>
      </c>
      <c r="BN766" s="55">
        <v>7338416.0047800001</v>
      </c>
      <c r="BO766" s="55"/>
      <c r="BP766" s="55">
        <v>2862800.1293219998</v>
      </c>
      <c r="BQ766" s="55"/>
      <c r="BR766" s="55">
        <v>0</v>
      </c>
      <c r="BS766" s="55"/>
      <c r="BT766" s="55">
        <v>222240.79473287999</v>
      </c>
      <c r="BU766" s="55">
        <v>0</v>
      </c>
      <c r="BV766" s="55">
        <v>14005782.708666001</v>
      </c>
      <c r="BW766" s="55">
        <v>0</v>
      </c>
      <c r="BX766" s="55">
        <v>0</v>
      </c>
      <c r="BY766" s="55">
        <v>0</v>
      </c>
      <c r="BZ766" s="55"/>
      <c r="CA766" s="63"/>
      <c r="CB766" s="64">
        <v>470846.68732711999</v>
      </c>
      <c r="CD766" s="75"/>
      <c r="CE766" s="6"/>
    </row>
    <row r="767" spans="1:83" x14ac:dyDescent="0.25">
      <c r="A767" s="105">
        <f t="shared" si="199"/>
        <v>745</v>
      </c>
      <c r="B767" s="106">
        <f t="shared" si="193"/>
        <v>285</v>
      </c>
      <c r="C767" s="107" t="s">
        <v>224</v>
      </c>
      <c r="D767" s="107" t="s">
        <v>697</v>
      </c>
      <c r="E767" s="128">
        <v>1990</v>
      </c>
      <c r="F767" s="128">
        <v>2015</v>
      </c>
      <c r="G767" s="128" t="s">
        <v>64</v>
      </c>
      <c r="H767" s="128">
        <v>9</v>
      </c>
      <c r="I767" s="128">
        <v>1</v>
      </c>
      <c r="J767" s="63">
        <v>2286.6999999999998</v>
      </c>
      <c r="K767" s="63">
        <v>2021.3</v>
      </c>
      <c r="L767" s="63">
        <v>0</v>
      </c>
      <c r="M767" s="129">
        <v>76</v>
      </c>
      <c r="N767" s="108">
        <v>2443012.75</v>
      </c>
      <c r="O767" s="63"/>
      <c r="P767" s="63"/>
      <c r="Q767" s="63"/>
      <c r="R767" s="62">
        <v>1446929.37</v>
      </c>
      <c r="S767" s="62">
        <v>996083.38</v>
      </c>
      <c r="T767" s="63"/>
      <c r="U767" s="63">
        <v>1152.7380017810301</v>
      </c>
      <c r="V767" s="63">
        <v>1152.7380017810301</v>
      </c>
      <c r="W767" s="59">
        <v>2024</v>
      </c>
      <c r="X767" s="6" t="e">
        <v>#REF!</v>
      </c>
      <c r="Z767" s="62">
        <f t="shared" si="201"/>
        <v>2588921.4699999997</v>
      </c>
      <c r="AA767" s="55">
        <v>0</v>
      </c>
      <c r="AB767" s="55">
        <v>0</v>
      </c>
      <c r="AC767" s="55">
        <v>0</v>
      </c>
      <c r="AD767" s="55">
        <v>0</v>
      </c>
      <c r="AE767" s="55">
        <v>0</v>
      </c>
      <c r="AF767" s="55"/>
      <c r="AG767" s="55">
        <v>0</v>
      </c>
      <c r="AH767" s="55">
        <v>0</v>
      </c>
      <c r="AI767" s="55">
        <v>2280166.6954878001</v>
      </c>
      <c r="AJ767" s="55">
        <v>0</v>
      </c>
      <c r="AK767" s="55">
        <v>0</v>
      </c>
      <c r="AL767" s="55">
        <v>0</v>
      </c>
      <c r="AM767" s="55">
        <v>233002.93229999999</v>
      </c>
      <c r="AN767" s="63">
        <v>25889.2147</v>
      </c>
      <c r="AO767" s="64">
        <v>49862.627512200001</v>
      </c>
      <c r="AP767" s="61">
        <f>+N767-'Приложение №2'!E767</f>
        <v>4.8780022189021111E-4</v>
      </c>
      <c r="AQ767" s="1">
        <v>1172925.98</v>
      </c>
      <c r="AR767" s="3">
        <f>+(K767*13.29+L767*22.52)*12*0.85</f>
        <v>274003.38539999997</v>
      </c>
      <c r="AS767" s="3">
        <f>+(K767*13.29+L767*22.52)*12*30</f>
        <v>9670707.7200000007</v>
      </c>
      <c r="AT767" s="6">
        <f t="shared" si="200"/>
        <v>-8674624.3399999999</v>
      </c>
      <c r="AU767" s="6" t="e">
        <v>#REF!</v>
      </c>
      <c r="AV767" s="6" t="e">
        <v>#REF!</v>
      </c>
      <c r="AW767" s="62">
        <f t="shared" si="197"/>
        <v>2330029.3229999999</v>
      </c>
      <c r="AX767" s="55">
        <v>0</v>
      </c>
      <c r="AY767" s="55">
        <v>0</v>
      </c>
      <c r="AZ767" s="55">
        <v>0</v>
      </c>
      <c r="BA767" s="55">
        <v>0</v>
      </c>
      <c r="BB767" s="55">
        <v>0</v>
      </c>
      <c r="BC767" s="55"/>
      <c r="BD767" s="55"/>
      <c r="BE767" s="55">
        <v>0</v>
      </c>
      <c r="BF767" s="55">
        <v>2280166.6954878001</v>
      </c>
      <c r="BG767" s="55">
        <v>0</v>
      </c>
      <c r="BH767" s="55">
        <v>0</v>
      </c>
      <c r="BI767" s="55">
        <v>0</v>
      </c>
      <c r="BJ767" s="55"/>
      <c r="BK767" s="63"/>
      <c r="BL767" s="64">
        <v>49862.627512200001</v>
      </c>
      <c r="BM767" s="62">
        <f t="shared" si="198"/>
        <v>2330029.3229999999</v>
      </c>
      <c r="BN767" s="55">
        <v>0</v>
      </c>
      <c r="BO767" s="55">
        <v>0</v>
      </c>
      <c r="BP767" s="55">
        <v>0</v>
      </c>
      <c r="BQ767" s="55">
        <v>0</v>
      </c>
      <c r="BR767" s="55">
        <v>0</v>
      </c>
      <c r="BS767" s="55"/>
      <c r="BT767" s="55"/>
      <c r="BU767" s="55">
        <v>0</v>
      </c>
      <c r="BV767" s="55">
        <v>2280166.6954878001</v>
      </c>
      <c r="BW767" s="55">
        <v>0</v>
      </c>
      <c r="BX767" s="55">
        <v>0</v>
      </c>
      <c r="BY767" s="55">
        <v>0</v>
      </c>
      <c r="BZ767" s="55"/>
      <c r="CA767" s="63"/>
      <c r="CB767" s="64">
        <v>49862.627512200001</v>
      </c>
      <c r="CD767" s="75"/>
      <c r="CE767" s="6"/>
    </row>
    <row r="768" spans="1:83" x14ac:dyDescent="0.25">
      <c r="A768" s="105">
        <f t="shared" si="199"/>
        <v>746</v>
      </c>
      <c r="B768" s="106">
        <f t="shared" si="193"/>
        <v>286</v>
      </c>
      <c r="C768" s="107" t="s">
        <v>224</v>
      </c>
      <c r="D768" s="107" t="s">
        <v>698</v>
      </c>
      <c r="E768" s="128">
        <v>1967</v>
      </c>
      <c r="F768" s="128">
        <v>2015</v>
      </c>
      <c r="G768" s="128" t="s">
        <v>64</v>
      </c>
      <c r="H768" s="128">
        <v>3</v>
      </c>
      <c r="I768" s="128">
        <v>3</v>
      </c>
      <c r="J768" s="63">
        <v>1753.5</v>
      </c>
      <c r="K768" s="63">
        <v>1262.7</v>
      </c>
      <c r="L768" s="63">
        <v>455.8</v>
      </c>
      <c r="M768" s="129">
        <v>37</v>
      </c>
      <c r="N768" s="108">
        <v>32843696.07</v>
      </c>
      <c r="O768" s="63"/>
      <c r="P768" s="62">
        <v>5009763.37</v>
      </c>
      <c r="Q768" s="63"/>
      <c r="R768" s="62">
        <v>1464258.99</v>
      </c>
      <c r="S768" s="62">
        <v>8218854</v>
      </c>
      <c r="T768" s="62">
        <v>18150819.710000001</v>
      </c>
      <c r="U768" s="63">
        <v>26009.998219475699</v>
      </c>
      <c r="V768" s="63">
        <v>1387.2830200640001</v>
      </c>
      <c r="W768" s="59">
        <v>2024</v>
      </c>
      <c r="X768" s="6" t="e">
        <v>#REF!</v>
      </c>
      <c r="Z768" s="62">
        <f t="shared" si="201"/>
        <v>34868708.160000011</v>
      </c>
      <c r="AA768" s="55">
        <v>5996729.9781097798</v>
      </c>
      <c r="AB768" s="55">
        <v>3648890.3764198199</v>
      </c>
      <c r="AC768" s="55">
        <v>1719410.92721748</v>
      </c>
      <c r="AD768" s="55">
        <v>1465289.8013577601</v>
      </c>
      <c r="AE768" s="55">
        <v>0</v>
      </c>
      <c r="AF768" s="55"/>
      <c r="AG768" s="55">
        <v>511593.88939175999</v>
      </c>
      <c r="AH768" s="55">
        <v>0</v>
      </c>
      <c r="AI768" s="55">
        <v>17347540.944258001</v>
      </c>
      <c r="AJ768" s="55">
        <v>0</v>
      </c>
      <c r="AK768" s="55">
        <v>0</v>
      </c>
      <c r="AL768" s="55">
        <v>0</v>
      </c>
      <c r="AM768" s="55">
        <v>3159448.9174000002</v>
      </c>
      <c r="AN768" s="63">
        <v>348687.08159999998</v>
      </c>
      <c r="AO768" s="64">
        <v>671116.24424539995</v>
      </c>
      <c r="AP768" s="61">
        <f>+N768-'Приложение №2'!E768</f>
        <v>2.1819993853569031E-3</v>
      </c>
      <c r="AQ768" s="6">
        <f>1231391.46</f>
        <v>1231391.46</v>
      </c>
      <c r="AR768" s="3">
        <f>+(K768*10.5+L768*21)*12*0.85</f>
        <v>232867.53000000003</v>
      </c>
      <c r="AS768" s="3">
        <f>+(K768*10.5+L768*21)*12*30</f>
        <v>8218854.0000000019</v>
      </c>
      <c r="AT768" s="6">
        <f t="shared" si="200"/>
        <v>0</v>
      </c>
      <c r="AU768" s="6" t="e">
        <v>#REF!</v>
      </c>
      <c r="AV768" s="6" t="e">
        <v>#REF!</v>
      </c>
      <c r="AW768" s="110">
        <f t="shared" si="197"/>
        <v>32842824.751731999</v>
      </c>
      <c r="AX768" s="55">
        <v>6541685.2820340004</v>
      </c>
      <c r="AY768" s="55">
        <v>4051261.6039140001</v>
      </c>
      <c r="AZ768" s="55">
        <v>1904080.8091200001</v>
      </c>
      <c r="BA768" s="55"/>
      <c r="BB768" s="55">
        <v>0</v>
      </c>
      <c r="BC768" s="55"/>
      <c r="BD768" s="55">
        <v>511593.88939175999</v>
      </c>
      <c r="BE768" s="55">
        <v>0</v>
      </c>
      <c r="BF768" s="55">
        <v>19172709.856734</v>
      </c>
      <c r="BG768" s="55">
        <v>0</v>
      </c>
      <c r="BH768" s="55">
        <v>0</v>
      </c>
      <c r="BI768" s="55">
        <v>0</v>
      </c>
      <c r="BJ768" s="55"/>
      <c r="BK768" s="63"/>
      <c r="BL768" s="64">
        <v>661493.31053824001</v>
      </c>
      <c r="BM768" s="110">
        <f t="shared" si="198"/>
        <v>32842824.751731999</v>
      </c>
      <c r="BN768" s="55">
        <v>6541685.2820340004</v>
      </c>
      <c r="BO768" s="55">
        <v>4051261.6039140001</v>
      </c>
      <c r="BP768" s="55">
        <v>1904080.8091200001</v>
      </c>
      <c r="BQ768" s="55"/>
      <c r="BR768" s="55">
        <v>0</v>
      </c>
      <c r="BS768" s="55"/>
      <c r="BT768" s="55">
        <v>511593.88939175999</v>
      </c>
      <c r="BU768" s="55">
        <v>0</v>
      </c>
      <c r="BV768" s="55">
        <v>19172709.856734</v>
      </c>
      <c r="BW768" s="55">
        <v>0</v>
      </c>
      <c r="BX768" s="55">
        <v>0</v>
      </c>
      <c r="BY768" s="55">
        <v>0</v>
      </c>
      <c r="BZ768" s="55"/>
      <c r="CA768" s="63"/>
      <c r="CB768" s="64">
        <v>661493.31053824001</v>
      </c>
      <c r="CD768" s="75"/>
      <c r="CE768" s="6"/>
    </row>
    <row r="769" spans="1:83" x14ac:dyDescent="0.25">
      <c r="A769" s="105">
        <f t="shared" si="199"/>
        <v>747</v>
      </c>
      <c r="B769" s="106">
        <f t="shared" si="193"/>
        <v>287</v>
      </c>
      <c r="C769" s="107" t="s">
        <v>224</v>
      </c>
      <c r="D769" s="107" t="s">
        <v>699</v>
      </c>
      <c r="E769" s="128">
        <v>1968</v>
      </c>
      <c r="F769" s="128">
        <v>2015</v>
      </c>
      <c r="G769" s="128" t="s">
        <v>64</v>
      </c>
      <c r="H769" s="128">
        <v>4</v>
      </c>
      <c r="I769" s="128">
        <v>2</v>
      </c>
      <c r="J769" s="63">
        <v>1345.8</v>
      </c>
      <c r="K769" s="63">
        <v>1132</v>
      </c>
      <c r="L769" s="63">
        <v>118.5</v>
      </c>
      <c r="M769" s="129">
        <v>46</v>
      </c>
      <c r="N769" s="108">
        <v>12599233.890000001</v>
      </c>
      <c r="O769" s="63"/>
      <c r="P769" s="62">
        <v>1919629.19</v>
      </c>
      <c r="Q769" s="63"/>
      <c r="R769" s="62">
        <v>682592.66</v>
      </c>
      <c r="S769" s="62">
        <v>5174820</v>
      </c>
      <c r="T769" s="62">
        <v>4822192.04</v>
      </c>
      <c r="U769" s="63">
        <v>11130.065274159</v>
      </c>
      <c r="V769" s="63">
        <v>1388.2830200640001</v>
      </c>
      <c r="W769" s="59">
        <v>2024</v>
      </c>
      <c r="X769" s="6" t="e">
        <v>#REF!</v>
      </c>
      <c r="Z769" s="62">
        <f t="shared" si="201"/>
        <v>15236078.209999999</v>
      </c>
      <c r="AA769" s="55">
        <v>3432050.52323406</v>
      </c>
      <c r="AB769" s="55">
        <v>1258542.09075378</v>
      </c>
      <c r="AC769" s="55">
        <v>1314881.1524797201</v>
      </c>
      <c r="AD769" s="55">
        <v>823214.26413408003</v>
      </c>
      <c r="AE769" s="55">
        <v>0</v>
      </c>
      <c r="AF769" s="55"/>
      <c r="AG769" s="55">
        <v>113301.62983020001</v>
      </c>
      <c r="AH769" s="55">
        <v>0</v>
      </c>
      <c r="AI769" s="55">
        <v>6456793.9123547999</v>
      </c>
      <c r="AJ769" s="55">
        <v>0</v>
      </c>
      <c r="AK769" s="55">
        <v>0</v>
      </c>
      <c r="AL769" s="55">
        <v>0</v>
      </c>
      <c r="AM769" s="55">
        <v>1391929.5955000001</v>
      </c>
      <c r="AN769" s="63">
        <v>152360.78210000001</v>
      </c>
      <c r="AO769" s="64">
        <v>293004.25961335999</v>
      </c>
      <c r="AP769" s="61">
        <f>+N769-'Приложение №2'!E769</f>
        <v>-3.4799985587596893E-4</v>
      </c>
      <c r="AQ769" s="6">
        <f>535972.76</f>
        <v>535972.76</v>
      </c>
      <c r="AR769" s="3">
        <f>+(K769*10.5+L769*21)*12*0.85</f>
        <v>146619.9</v>
      </c>
      <c r="AS769" s="3">
        <f>+(K769*10.5+L769*21)*12*30</f>
        <v>5174820</v>
      </c>
      <c r="AT769" s="6">
        <f t="shared" si="200"/>
        <v>0</v>
      </c>
      <c r="AU769" s="6" t="e">
        <v>#REF!</v>
      </c>
      <c r="AV769" s="6" t="e">
        <v>#REF!</v>
      </c>
      <c r="AW769" s="110">
        <f t="shared" si="197"/>
        <v>12599233.890348</v>
      </c>
      <c r="AX769" s="55">
        <v>3724324.4375820002</v>
      </c>
      <c r="AY769" s="55"/>
      <c r="AZ769" s="55">
        <v>1448805.3415079999</v>
      </c>
      <c r="BA769" s="55"/>
      <c r="BB769" s="55">
        <v>0</v>
      </c>
      <c r="BC769" s="55"/>
      <c r="BD769" s="55">
        <v>113301.62983020001</v>
      </c>
      <c r="BE769" s="55">
        <v>0</v>
      </c>
      <c r="BF769" s="55">
        <v>7074795.119616</v>
      </c>
      <c r="BG769" s="55">
        <v>0</v>
      </c>
      <c r="BH769" s="55">
        <v>0</v>
      </c>
      <c r="BI769" s="55">
        <v>0</v>
      </c>
      <c r="BJ769" s="55"/>
      <c r="BK769" s="63"/>
      <c r="BL769" s="64">
        <v>238007.36181179999</v>
      </c>
      <c r="BM769" s="110">
        <f t="shared" si="198"/>
        <v>12599233.890348</v>
      </c>
      <c r="BN769" s="55">
        <v>3724324.4375820002</v>
      </c>
      <c r="BO769" s="55"/>
      <c r="BP769" s="55">
        <v>1448805.3415079999</v>
      </c>
      <c r="BQ769" s="55"/>
      <c r="BR769" s="55">
        <v>0</v>
      </c>
      <c r="BS769" s="55"/>
      <c r="BT769" s="55">
        <v>113301.62983020001</v>
      </c>
      <c r="BU769" s="55">
        <v>0</v>
      </c>
      <c r="BV769" s="55">
        <v>7074795.119616</v>
      </c>
      <c r="BW769" s="55">
        <v>0</v>
      </c>
      <c r="BX769" s="55">
        <v>0</v>
      </c>
      <c r="BY769" s="55">
        <v>0</v>
      </c>
      <c r="BZ769" s="55"/>
      <c r="CA769" s="63"/>
      <c r="CB769" s="64">
        <v>238007.36181179999</v>
      </c>
      <c r="CD769" s="75"/>
      <c r="CE769" s="6"/>
    </row>
    <row r="770" spans="1:83" x14ac:dyDescent="0.25">
      <c r="A770" s="105">
        <f t="shared" si="199"/>
        <v>748</v>
      </c>
      <c r="B770" s="106">
        <f t="shared" si="193"/>
        <v>288</v>
      </c>
      <c r="C770" s="107" t="s">
        <v>224</v>
      </c>
      <c r="D770" s="107" t="s">
        <v>700</v>
      </c>
      <c r="E770" s="128">
        <v>1967</v>
      </c>
      <c r="F770" s="128">
        <v>2013</v>
      </c>
      <c r="G770" s="128" t="s">
        <v>64</v>
      </c>
      <c r="H770" s="128">
        <v>3</v>
      </c>
      <c r="I770" s="128">
        <v>3</v>
      </c>
      <c r="J770" s="63">
        <v>1661.3</v>
      </c>
      <c r="K770" s="63">
        <v>1287.5999999999999</v>
      </c>
      <c r="L770" s="63">
        <v>250.7</v>
      </c>
      <c r="M770" s="129">
        <v>74</v>
      </c>
      <c r="N770" s="108">
        <v>12877508.09</v>
      </c>
      <c r="O770" s="63"/>
      <c r="P770" s="62">
        <v>1452195.02</v>
      </c>
      <c r="Q770" s="63"/>
      <c r="R770" s="62">
        <v>1118304.1599999999</v>
      </c>
      <c r="S770" s="62">
        <v>6762420</v>
      </c>
      <c r="T770" s="62">
        <v>3544588.91</v>
      </c>
      <c r="U770" s="63">
        <v>10001.1712411681</v>
      </c>
      <c r="V770" s="63">
        <v>1389.2830200640001</v>
      </c>
      <c r="W770" s="59">
        <v>2024</v>
      </c>
      <c r="X770" s="6" t="e">
        <v>#REF!</v>
      </c>
      <c r="Z770" s="62">
        <f t="shared" si="201"/>
        <v>14747148.670000002</v>
      </c>
      <c r="AA770" s="55">
        <v>5828747.4672991196</v>
      </c>
      <c r="AB770" s="55">
        <v>3546676.3733486398</v>
      </c>
      <c r="AC770" s="55">
        <v>1671246.17812992</v>
      </c>
      <c r="AD770" s="55">
        <v>1424243.59065324</v>
      </c>
      <c r="AE770" s="55">
        <v>0</v>
      </c>
      <c r="AF770" s="55"/>
      <c r="AG770" s="55">
        <v>497262.94218215998</v>
      </c>
      <c r="AH770" s="55">
        <v>0</v>
      </c>
      <c r="AI770" s="55">
        <v>0</v>
      </c>
      <c r="AJ770" s="55">
        <v>0</v>
      </c>
      <c r="AK770" s="55">
        <v>0</v>
      </c>
      <c r="AL770" s="55">
        <v>0</v>
      </c>
      <c r="AM770" s="55">
        <v>1347912.8755000001</v>
      </c>
      <c r="AN770" s="63">
        <v>147471.48670000001</v>
      </c>
      <c r="AO770" s="64">
        <v>283587.75618691999</v>
      </c>
      <c r="AP770" s="61">
        <f>+N770-'Приложение №2'!E770</f>
        <v>-1.280028373003006E-4</v>
      </c>
      <c r="AQ770" s="6">
        <f>926702.26</f>
        <v>926702.26</v>
      </c>
      <c r="AR770" s="3">
        <f>+(K770*10.5+L770*21)*12*0.85</f>
        <v>191601.9</v>
      </c>
      <c r="AS770" s="3">
        <f>+(K770*10.5+L770*21)*12*30</f>
        <v>6762420</v>
      </c>
      <c r="AT770" s="6">
        <f t="shared" si="200"/>
        <v>0</v>
      </c>
      <c r="AU770" s="6" t="e">
        <v>#REF!</v>
      </c>
      <c r="AV770" s="6" t="e">
        <v>#REF!</v>
      </c>
      <c r="AW770" s="110">
        <f t="shared" si="197"/>
        <v>12877508.090128003</v>
      </c>
      <c r="AX770" s="55">
        <v>6357413.6689980002</v>
      </c>
      <c r="AY770" s="55">
        <v>3936738.962142</v>
      </c>
      <c r="AZ770" s="55">
        <v>1850698.86414</v>
      </c>
      <c r="BA770" s="55"/>
      <c r="BB770" s="55">
        <v>0</v>
      </c>
      <c r="BC770" s="55"/>
      <c r="BD770" s="55">
        <v>497262.94218215998</v>
      </c>
      <c r="BE770" s="55">
        <v>0</v>
      </c>
      <c r="BF770" s="55">
        <v>0</v>
      </c>
      <c r="BG770" s="55">
        <v>0</v>
      </c>
      <c r="BH770" s="55">
        <v>0</v>
      </c>
      <c r="BI770" s="55">
        <v>0</v>
      </c>
      <c r="BJ770" s="55"/>
      <c r="BK770" s="63"/>
      <c r="BL770" s="64">
        <v>235393.65266584</v>
      </c>
      <c r="BM770" s="110">
        <f t="shared" si="198"/>
        <v>12877508.090128003</v>
      </c>
      <c r="BN770" s="55">
        <v>6357413.6689980002</v>
      </c>
      <c r="BO770" s="55">
        <v>3936738.962142</v>
      </c>
      <c r="BP770" s="55">
        <v>1850698.86414</v>
      </c>
      <c r="BQ770" s="55"/>
      <c r="BR770" s="55">
        <v>0</v>
      </c>
      <c r="BS770" s="55"/>
      <c r="BT770" s="55">
        <v>497262.94218215998</v>
      </c>
      <c r="BU770" s="55">
        <v>0</v>
      </c>
      <c r="BV770" s="55">
        <v>0</v>
      </c>
      <c r="BW770" s="55">
        <v>0</v>
      </c>
      <c r="BX770" s="55">
        <v>0</v>
      </c>
      <c r="BY770" s="55">
        <v>0</v>
      </c>
      <c r="BZ770" s="55"/>
      <c r="CA770" s="63"/>
      <c r="CB770" s="64">
        <v>235393.65266584</v>
      </c>
      <c r="CD770" s="75"/>
      <c r="CE770" s="6"/>
    </row>
    <row r="771" spans="1:83" x14ac:dyDescent="0.25">
      <c r="A771" s="105">
        <f t="shared" si="199"/>
        <v>749</v>
      </c>
      <c r="B771" s="106">
        <f t="shared" si="193"/>
        <v>289</v>
      </c>
      <c r="C771" s="107" t="s">
        <v>224</v>
      </c>
      <c r="D771" s="107" t="s">
        <v>701</v>
      </c>
      <c r="E771" s="128">
        <v>1969</v>
      </c>
      <c r="F771" s="128">
        <v>1969</v>
      </c>
      <c r="G771" s="128" t="s">
        <v>64</v>
      </c>
      <c r="H771" s="128">
        <v>4</v>
      </c>
      <c r="I771" s="128">
        <v>2</v>
      </c>
      <c r="J771" s="63">
        <v>1357.7</v>
      </c>
      <c r="K771" s="63">
        <v>1089.9000000000001</v>
      </c>
      <c r="L771" s="63">
        <v>150.80000000000001</v>
      </c>
      <c r="M771" s="129">
        <v>48</v>
      </c>
      <c r="N771" s="108">
        <v>5991508.2999999998</v>
      </c>
      <c r="O771" s="63"/>
      <c r="P771" s="63"/>
      <c r="Q771" s="63"/>
      <c r="R771" s="62">
        <v>1177163.58</v>
      </c>
      <c r="S771" s="62">
        <v>4814344.72</v>
      </c>
      <c r="T771" s="63"/>
      <c r="U771" s="63">
        <v>5109.6917299789002</v>
      </c>
      <c r="V771" s="63">
        <v>1391.2830200640001</v>
      </c>
      <c r="W771" s="59">
        <v>2024</v>
      </c>
      <c r="X771" s="6" t="e">
        <v>#REF!</v>
      </c>
      <c r="Z771" s="62">
        <f t="shared" si="201"/>
        <v>8198144.5299999984</v>
      </c>
      <c r="AA771" s="55">
        <v>3559333.0036773598</v>
      </c>
      <c r="AB771" s="55">
        <v>1305216.9162526201</v>
      </c>
      <c r="AC771" s="55">
        <v>1363645.39662456</v>
      </c>
      <c r="AD771" s="55">
        <v>853744.33726847998</v>
      </c>
      <c r="AE771" s="55">
        <v>0</v>
      </c>
      <c r="AF771" s="55"/>
      <c r="AG771" s="55">
        <v>117503.58224136</v>
      </c>
      <c r="AH771" s="55">
        <v>0</v>
      </c>
      <c r="AI771" s="55">
        <v>0</v>
      </c>
      <c r="AJ771" s="55">
        <v>0</v>
      </c>
      <c r="AK771" s="55">
        <v>0</v>
      </c>
      <c r="AL771" s="55">
        <v>0</v>
      </c>
      <c r="AM771" s="55">
        <v>759282.60640000005</v>
      </c>
      <c r="AN771" s="63">
        <v>81981.445300000007</v>
      </c>
      <c r="AO771" s="64">
        <v>157437.24223562001</v>
      </c>
      <c r="AP771" s="61">
        <f>+N771-'Приложение №2'!E771</f>
        <v>-3.0800048261880875E-4</v>
      </c>
      <c r="AQ771" s="6">
        <f>605678.65</f>
        <v>605678.65</v>
      </c>
      <c r="AR771" s="3">
        <f>+(K771*10.5+L771*21)*12*0.85</f>
        <v>149029.65</v>
      </c>
      <c r="AS771" s="3">
        <f>+(K771*10.5+L771*21)*12*30</f>
        <v>5259870</v>
      </c>
      <c r="AT771" s="6">
        <f t="shared" si="200"/>
        <v>-445525.28000000026</v>
      </c>
      <c r="AU771" s="6" t="e">
        <v>#REF!</v>
      </c>
      <c r="AV771" s="6" t="e">
        <v>#REF!</v>
      </c>
      <c r="AW771" s="110">
        <f t="shared" si="197"/>
        <v>5569053.0165039999</v>
      </c>
      <c r="AX771" s="55">
        <v>3860931.116196</v>
      </c>
      <c r="AY771" s="55"/>
      <c r="AZ771" s="55">
        <v>1504229.3604659999</v>
      </c>
      <c r="BA771" s="55"/>
      <c r="BB771" s="55">
        <v>0</v>
      </c>
      <c r="BC771" s="55"/>
      <c r="BD771" s="55">
        <v>117503.58224136</v>
      </c>
      <c r="BE771" s="55">
        <v>0</v>
      </c>
      <c r="BF771" s="55">
        <v>0</v>
      </c>
      <c r="BG771" s="55">
        <v>0</v>
      </c>
      <c r="BH771" s="55">
        <v>0</v>
      </c>
      <c r="BI771" s="55">
        <v>0</v>
      </c>
      <c r="BJ771" s="55"/>
      <c r="BK771" s="63"/>
      <c r="BL771" s="64">
        <v>86388.957600640002</v>
      </c>
      <c r="BM771" s="110">
        <f t="shared" si="198"/>
        <v>5569053.0165039999</v>
      </c>
      <c r="BN771" s="55">
        <v>3860931.116196</v>
      </c>
      <c r="BO771" s="55"/>
      <c r="BP771" s="55">
        <v>1504229.3604659999</v>
      </c>
      <c r="BQ771" s="55"/>
      <c r="BR771" s="55">
        <v>0</v>
      </c>
      <c r="BS771" s="55"/>
      <c r="BT771" s="55">
        <v>117503.58224136</v>
      </c>
      <c r="BU771" s="55">
        <v>0</v>
      </c>
      <c r="BV771" s="55">
        <v>0</v>
      </c>
      <c r="BW771" s="55">
        <v>0</v>
      </c>
      <c r="BX771" s="55">
        <v>0</v>
      </c>
      <c r="BY771" s="55">
        <v>0</v>
      </c>
      <c r="BZ771" s="55"/>
      <c r="CA771" s="63"/>
      <c r="CB771" s="64">
        <v>86388.957600640002</v>
      </c>
      <c r="CD771" s="75"/>
      <c r="CE771" s="6"/>
    </row>
    <row r="772" spans="1:83" x14ac:dyDescent="0.25">
      <c r="A772" s="105">
        <f t="shared" si="199"/>
        <v>750</v>
      </c>
      <c r="B772" s="106">
        <f t="shared" si="193"/>
        <v>290</v>
      </c>
      <c r="C772" s="107" t="s">
        <v>224</v>
      </c>
      <c r="D772" s="107" t="s">
        <v>702</v>
      </c>
      <c r="E772" s="128">
        <v>1972</v>
      </c>
      <c r="F772" s="128">
        <v>1972</v>
      </c>
      <c r="G772" s="128" t="s">
        <v>64</v>
      </c>
      <c r="H772" s="128">
        <v>4</v>
      </c>
      <c r="I772" s="128">
        <v>2</v>
      </c>
      <c r="J772" s="63">
        <v>1419.91</v>
      </c>
      <c r="K772" s="63">
        <v>1089.9100000000001</v>
      </c>
      <c r="L772" s="63">
        <v>330</v>
      </c>
      <c r="M772" s="129">
        <v>53</v>
      </c>
      <c r="N772" s="108">
        <v>1344004.72</v>
      </c>
      <c r="O772" s="63"/>
      <c r="P772" s="63"/>
      <c r="Q772" s="63"/>
      <c r="R772" s="62">
        <v>992178.52</v>
      </c>
      <c r="S772" s="62">
        <v>351826.2</v>
      </c>
      <c r="T772" s="63"/>
      <c r="U772" s="63">
        <v>946.54218929368801</v>
      </c>
      <c r="V772" s="63">
        <v>946.54218929368801</v>
      </c>
      <c r="W772" s="59">
        <v>2024</v>
      </c>
      <c r="X772" s="6" t="e">
        <v>#REF!</v>
      </c>
      <c r="Z772" s="62">
        <f t="shared" si="201"/>
        <v>7184246.7199999997</v>
      </c>
      <c r="AA772" s="55">
        <v>3119135.8409756999</v>
      </c>
      <c r="AB772" s="55">
        <v>1143795.4428423599</v>
      </c>
      <c r="AC772" s="55">
        <v>1194997.8356148</v>
      </c>
      <c r="AD772" s="55">
        <v>748158.30905759998</v>
      </c>
      <c r="AE772" s="55">
        <v>0</v>
      </c>
      <c r="AF772" s="55"/>
      <c r="AG772" s="55">
        <v>102971.44054764</v>
      </c>
      <c r="AH772" s="55">
        <v>0</v>
      </c>
      <c r="AI772" s="55">
        <v>0</v>
      </c>
      <c r="AJ772" s="55">
        <v>0</v>
      </c>
      <c r="AK772" s="55">
        <v>0</v>
      </c>
      <c r="AL772" s="55">
        <v>0</v>
      </c>
      <c r="AM772" s="55">
        <v>665379.04429999995</v>
      </c>
      <c r="AN772" s="63">
        <v>71842.467199999999</v>
      </c>
      <c r="AO772" s="64">
        <v>137966.3394619</v>
      </c>
      <c r="AP772" s="61">
        <f>+N772-'Приложение №2'!E772</f>
        <v>0</v>
      </c>
      <c r="AQ772" s="1">
        <v>813687.7</v>
      </c>
      <c r="AR772" s="3">
        <f>+(K772*10+L772*20)*12*0.85</f>
        <v>178490.81999999998</v>
      </c>
      <c r="AS772" s="3">
        <f>+(K772*10+L772*20)*12*30</f>
        <v>6299675.9999999991</v>
      </c>
      <c r="AT772" s="6">
        <f t="shared" si="200"/>
        <v>-5947849.7999999989</v>
      </c>
      <c r="AU772" s="6" t="e">
        <v>#REF!</v>
      </c>
      <c r="AV772" s="6" t="e">
        <v>#REF!</v>
      </c>
      <c r="AW772" s="62">
        <f t="shared" si="197"/>
        <v>1344004.72</v>
      </c>
      <c r="AX772" s="55"/>
      <c r="AY772" s="55"/>
      <c r="AZ772" s="55">
        <v>1315243.018992</v>
      </c>
      <c r="BA772" s="55"/>
      <c r="BB772" s="55">
        <v>0</v>
      </c>
      <c r="BC772" s="55"/>
      <c r="BD772" s="55"/>
      <c r="BE772" s="55"/>
      <c r="BF772" s="55"/>
      <c r="BG772" s="55">
        <v>0</v>
      </c>
      <c r="BH772" s="55">
        <v>0</v>
      </c>
      <c r="BI772" s="55">
        <v>0</v>
      </c>
      <c r="BJ772" s="55"/>
      <c r="BK772" s="63"/>
      <c r="BL772" s="64">
        <v>28761.701008</v>
      </c>
      <c r="BM772" s="62">
        <f t="shared" si="198"/>
        <v>1344004.72</v>
      </c>
      <c r="BN772" s="55"/>
      <c r="BO772" s="55"/>
      <c r="BP772" s="55">
        <v>1315243.018992</v>
      </c>
      <c r="BQ772" s="55"/>
      <c r="BR772" s="55">
        <v>0</v>
      </c>
      <c r="BS772" s="55"/>
      <c r="BT772" s="55"/>
      <c r="BU772" s="55"/>
      <c r="BV772" s="55"/>
      <c r="BW772" s="55">
        <v>0</v>
      </c>
      <c r="BX772" s="55">
        <v>0</v>
      </c>
      <c r="BY772" s="55">
        <v>0</v>
      </c>
      <c r="BZ772" s="55"/>
      <c r="CA772" s="63"/>
      <c r="CB772" s="64">
        <v>28761.701008</v>
      </c>
      <c r="CD772" s="75"/>
      <c r="CE772" s="6"/>
    </row>
    <row r="773" spans="1:83" x14ac:dyDescent="0.25">
      <c r="A773" s="105">
        <f t="shared" si="199"/>
        <v>751</v>
      </c>
      <c r="B773" s="106">
        <f t="shared" si="193"/>
        <v>291</v>
      </c>
      <c r="C773" s="107" t="s">
        <v>224</v>
      </c>
      <c r="D773" s="107" t="s">
        <v>703</v>
      </c>
      <c r="E773" s="128">
        <v>1969</v>
      </c>
      <c r="F773" s="128">
        <v>1969</v>
      </c>
      <c r="G773" s="128" t="s">
        <v>64</v>
      </c>
      <c r="H773" s="128">
        <v>4</v>
      </c>
      <c r="I773" s="128">
        <v>2</v>
      </c>
      <c r="J773" s="63">
        <v>1375</v>
      </c>
      <c r="K773" s="63">
        <v>1257.0999999999999</v>
      </c>
      <c r="L773" s="63">
        <v>0</v>
      </c>
      <c r="M773" s="129">
        <v>53</v>
      </c>
      <c r="N773" s="108">
        <v>13285630.91</v>
      </c>
      <c r="O773" s="63"/>
      <c r="P773" s="62">
        <v>2077460.73</v>
      </c>
      <c r="Q773" s="63"/>
      <c r="R773" s="62">
        <v>861893.07</v>
      </c>
      <c r="S773" s="62">
        <v>4751838</v>
      </c>
      <c r="T773" s="62">
        <v>5594439.1100000003</v>
      </c>
      <c r="U773" s="63">
        <v>10568.4757931064</v>
      </c>
      <c r="V773" s="63">
        <v>1392.2830200640001</v>
      </c>
      <c r="W773" s="59">
        <v>2024</v>
      </c>
      <c r="X773" s="6" t="e">
        <v>#REF!</v>
      </c>
      <c r="Z773" s="62">
        <f t="shared" si="201"/>
        <v>15991596.719999999</v>
      </c>
      <c r="AA773" s="55">
        <v>3602237.2105683601</v>
      </c>
      <c r="AB773" s="55">
        <v>1320950.0034994199</v>
      </c>
      <c r="AC773" s="55">
        <v>1380082.7808234601</v>
      </c>
      <c r="AD773" s="55">
        <v>864035.37315648003</v>
      </c>
      <c r="AE773" s="55">
        <v>0</v>
      </c>
      <c r="AF773" s="55"/>
      <c r="AG773" s="55">
        <v>118919.97069456</v>
      </c>
      <c r="AH773" s="55">
        <v>0</v>
      </c>
      <c r="AI773" s="55">
        <v>6776969.9586875997</v>
      </c>
      <c r="AJ773" s="55">
        <v>0</v>
      </c>
      <c r="AK773" s="55">
        <v>0</v>
      </c>
      <c r="AL773" s="55">
        <v>0</v>
      </c>
      <c r="AM773" s="55">
        <v>1460951.8570000001</v>
      </c>
      <c r="AN773" s="63">
        <v>159915.96720000001</v>
      </c>
      <c r="AO773" s="64">
        <v>307533.59837011999</v>
      </c>
      <c r="AP773" s="61">
        <f>+N773-'Приложение №2'!E773</f>
        <v>-9.51400026679039E-3</v>
      </c>
      <c r="AQ773" s="6">
        <f>727257.66</f>
        <v>727257.66</v>
      </c>
      <c r="AR773" s="3">
        <f t="shared" ref="AR773:AR778" si="202">+(K773*10.5+L773*21)*12*0.85</f>
        <v>134635.40999999997</v>
      </c>
      <c r="AS773" s="3">
        <f t="shared" ref="AS773:AS778" si="203">+(K773*10.5+L773*21)*12*30</f>
        <v>4751837.9999999991</v>
      </c>
      <c r="AT773" s="6">
        <f t="shared" si="200"/>
        <v>0</v>
      </c>
      <c r="AU773" s="6" t="e">
        <v>#REF!</v>
      </c>
      <c r="AV773" s="6" t="e">
        <v>#REF!</v>
      </c>
      <c r="AW773" s="110">
        <f t="shared" si="197"/>
        <v>13285630.919514</v>
      </c>
      <c r="AX773" s="55">
        <v>3907411.9739760002</v>
      </c>
      <c r="AY773" s="55"/>
      <c r="AZ773" s="55">
        <v>1521963.5496660001</v>
      </c>
      <c r="BA773" s="55"/>
      <c r="BB773" s="55">
        <v>0</v>
      </c>
      <c r="BC773" s="55"/>
      <c r="BD773" s="55">
        <v>118919.97069456</v>
      </c>
      <c r="BE773" s="55">
        <v>0</v>
      </c>
      <c r="BF773" s="55">
        <v>7486206.9364320002</v>
      </c>
      <c r="BG773" s="55">
        <v>0</v>
      </c>
      <c r="BH773" s="55">
        <v>0</v>
      </c>
      <c r="BI773" s="55">
        <v>0</v>
      </c>
      <c r="BJ773" s="55"/>
      <c r="BK773" s="63"/>
      <c r="BL773" s="64">
        <v>251128.48874544</v>
      </c>
      <c r="BM773" s="110">
        <f t="shared" si="198"/>
        <v>13285630.919514</v>
      </c>
      <c r="BN773" s="55">
        <v>3907411.9739760002</v>
      </c>
      <c r="BO773" s="55"/>
      <c r="BP773" s="55">
        <v>1521963.5496660001</v>
      </c>
      <c r="BQ773" s="55"/>
      <c r="BR773" s="55">
        <v>0</v>
      </c>
      <c r="BS773" s="55"/>
      <c r="BT773" s="55">
        <v>118919.97069456</v>
      </c>
      <c r="BU773" s="55">
        <v>0</v>
      </c>
      <c r="BV773" s="55">
        <v>7486206.9364320002</v>
      </c>
      <c r="BW773" s="55">
        <v>0</v>
      </c>
      <c r="BX773" s="55">
        <v>0</v>
      </c>
      <c r="BY773" s="55">
        <v>0</v>
      </c>
      <c r="BZ773" s="55"/>
      <c r="CA773" s="63"/>
      <c r="CB773" s="64">
        <v>251128.48874544</v>
      </c>
      <c r="CD773" s="75"/>
      <c r="CE773" s="6"/>
    </row>
    <row r="774" spans="1:83" x14ac:dyDescent="0.25">
      <c r="A774" s="105">
        <f t="shared" si="199"/>
        <v>752</v>
      </c>
      <c r="B774" s="106">
        <f t="shared" si="193"/>
        <v>292</v>
      </c>
      <c r="C774" s="107" t="s">
        <v>224</v>
      </c>
      <c r="D774" s="107" t="s">
        <v>704</v>
      </c>
      <c r="E774" s="128">
        <v>1971</v>
      </c>
      <c r="F774" s="128">
        <v>1971</v>
      </c>
      <c r="G774" s="128" t="s">
        <v>64</v>
      </c>
      <c r="H774" s="128">
        <v>4</v>
      </c>
      <c r="I774" s="128">
        <v>2</v>
      </c>
      <c r="J774" s="63">
        <v>1403.6</v>
      </c>
      <c r="K774" s="63">
        <v>1280.0999999999999</v>
      </c>
      <c r="L774" s="63">
        <v>42.7</v>
      </c>
      <c r="M774" s="129">
        <v>67</v>
      </c>
      <c r="N774" s="108">
        <v>6292343.4400000004</v>
      </c>
      <c r="O774" s="63"/>
      <c r="P774" s="63"/>
      <c r="Q774" s="63"/>
      <c r="R774" s="62">
        <v>844721.03</v>
      </c>
      <c r="S774" s="62">
        <v>5447622.4100000001</v>
      </c>
      <c r="T774" s="63"/>
      <c r="U774" s="63">
        <v>4915.5092874739403</v>
      </c>
      <c r="V774" s="63">
        <v>1393.2830200640001</v>
      </c>
      <c r="W774" s="59">
        <v>2024</v>
      </c>
      <c r="X774" s="6" t="e">
        <v>#REF!</v>
      </c>
      <c r="Z774" s="62">
        <f t="shared" si="201"/>
        <v>9191213.3916226011</v>
      </c>
      <c r="AA774" s="55">
        <v>3593084.3130982802</v>
      </c>
      <c r="AB774" s="55">
        <v>1317593.61677916</v>
      </c>
      <c r="AC774" s="55">
        <v>1376576.13711912</v>
      </c>
      <c r="AD774" s="55">
        <v>861839.95216703997</v>
      </c>
      <c r="AE774" s="55">
        <v>0</v>
      </c>
      <c r="AF774" s="55"/>
      <c r="AG774" s="55">
        <v>118617.8097426</v>
      </c>
      <c r="AH774" s="55">
        <v>0</v>
      </c>
      <c r="AI774" s="55"/>
      <c r="AJ774" s="55">
        <v>0</v>
      </c>
      <c r="AK774" s="55">
        <v>0</v>
      </c>
      <c r="AL774" s="55">
        <v>0</v>
      </c>
      <c r="AM774" s="55">
        <v>1457239.736</v>
      </c>
      <c r="AN774" s="63">
        <v>159509.63800000001</v>
      </c>
      <c r="AO774" s="64">
        <v>306752.18871640001</v>
      </c>
      <c r="AP774" s="61">
        <f>+N774-'Приложение №2'!E774</f>
        <v>1.1046072468161583E-3</v>
      </c>
      <c r="AQ774" s="6">
        <f>698475.98</f>
        <v>698475.98</v>
      </c>
      <c r="AR774" s="3">
        <f t="shared" si="202"/>
        <v>146245.04999999999</v>
      </c>
      <c r="AS774" s="3">
        <f t="shared" si="203"/>
        <v>5161590</v>
      </c>
      <c r="AT774" s="6">
        <f t="shared" si="200"/>
        <v>286032.41000000015</v>
      </c>
      <c r="AU774" s="6" t="e">
        <v>#REF!</v>
      </c>
      <c r="AV774" s="6" t="e">
        <v>#REF!</v>
      </c>
      <c r="AW774" s="110">
        <f t="shared" si="197"/>
        <v>6292343.4388953932</v>
      </c>
      <c r="AX774" s="55">
        <v>4579944.07</v>
      </c>
      <c r="AY774" s="55">
        <v>0</v>
      </c>
      <c r="AZ774" s="55">
        <v>1495590.896184</v>
      </c>
      <c r="BA774" s="55">
        <v>0</v>
      </c>
      <c r="BB774" s="55">
        <v>0</v>
      </c>
      <c r="BC774" s="55"/>
      <c r="BD774" s="55">
        <v>124902.41131799501</v>
      </c>
      <c r="BE774" s="55">
        <v>0</v>
      </c>
      <c r="BF774" s="55"/>
      <c r="BG774" s="55">
        <v>0</v>
      </c>
      <c r="BH774" s="55">
        <v>0</v>
      </c>
      <c r="BI774" s="55">
        <v>0</v>
      </c>
      <c r="BJ774" s="55"/>
      <c r="BK774" s="63"/>
      <c r="BL774" s="64">
        <v>91906.061393397395</v>
      </c>
      <c r="BM774" s="110">
        <f t="shared" si="198"/>
        <v>6292343.4388953932</v>
      </c>
      <c r="BN774" s="55">
        <v>4579944.07</v>
      </c>
      <c r="BO774" s="55">
        <v>0</v>
      </c>
      <c r="BP774" s="55">
        <v>1495590.896184</v>
      </c>
      <c r="BQ774" s="55">
        <v>0</v>
      </c>
      <c r="BR774" s="55">
        <v>0</v>
      </c>
      <c r="BS774" s="55"/>
      <c r="BT774" s="55">
        <v>124902.41131799501</v>
      </c>
      <c r="BU774" s="55">
        <v>0</v>
      </c>
      <c r="BV774" s="55"/>
      <c r="BW774" s="55">
        <v>0</v>
      </c>
      <c r="BX774" s="55">
        <v>0</v>
      </c>
      <c r="BY774" s="55">
        <v>0</v>
      </c>
      <c r="BZ774" s="55"/>
      <c r="CA774" s="63"/>
      <c r="CB774" s="64">
        <v>91906.061393397395</v>
      </c>
      <c r="CD774" s="75"/>
      <c r="CE774" s="6"/>
    </row>
    <row r="775" spans="1:83" x14ac:dyDescent="0.25">
      <c r="A775" s="105">
        <f t="shared" si="199"/>
        <v>753</v>
      </c>
      <c r="B775" s="106">
        <f t="shared" si="193"/>
        <v>293</v>
      </c>
      <c r="C775" s="107" t="s">
        <v>224</v>
      </c>
      <c r="D775" s="107" t="s">
        <v>705</v>
      </c>
      <c r="E775" s="128">
        <v>1971</v>
      </c>
      <c r="F775" s="128">
        <v>2015</v>
      </c>
      <c r="G775" s="128" t="s">
        <v>64</v>
      </c>
      <c r="H775" s="128">
        <v>4</v>
      </c>
      <c r="I775" s="128">
        <v>1</v>
      </c>
      <c r="J775" s="63">
        <v>2344</v>
      </c>
      <c r="K775" s="63">
        <v>1634.9</v>
      </c>
      <c r="L775" s="63">
        <v>427.9</v>
      </c>
      <c r="M775" s="129">
        <v>68</v>
      </c>
      <c r="N775" s="108">
        <v>11532330.67</v>
      </c>
      <c r="O775" s="63"/>
      <c r="P775" s="62">
        <v>417931.19</v>
      </c>
      <c r="Q775" s="63"/>
      <c r="R775" s="62">
        <v>1783723.81</v>
      </c>
      <c r="S775" s="62">
        <v>9330675.6699999999</v>
      </c>
      <c r="T775" s="63"/>
      <c r="U775" s="63">
        <v>7053.8446866406202</v>
      </c>
      <c r="V775" s="63">
        <v>1395.2830200640001</v>
      </c>
      <c r="W775" s="59">
        <v>2024</v>
      </c>
      <c r="X775" s="6" t="e">
        <v>#REF!</v>
      </c>
      <c r="Z775" s="62">
        <f t="shared" si="201"/>
        <v>25262253.210000001</v>
      </c>
      <c r="AA775" s="55">
        <v>5690527.9739763001</v>
      </c>
      <c r="AB775" s="55">
        <v>2086731.8051672401</v>
      </c>
      <c r="AC775" s="55">
        <v>2180145.0619355398</v>
      </c>
      <c r="AD775" s="55">
        <v>1364934.3932783999</v>
      </c>
      <c r="AE775" s="55">
        <v>0</v>
      </c>
      <c r="AF775" s="55"/>
      <c r="AG775" s="55">
        <v>187860.32184275999</v>
      </c>
      <c r="AH775" s="55">
        <v>0</v>
      </c>
      <c r="AI775" s="55">
        <v>10705718.389564799</v>
      </c>
      <c r="AJ775" s="55">
        <v>0</v>
      </c>
      <c r="AK775" s="55">
        <v>0</v>
      </c>
      <c r="AL775" s="55">
        <v>0</v>
      </c>
      <c r="AM775" s="55">
        <v>2307895.6014999999</v>
      </c>
      <c r="AN775" s="63">
        <v>252622.53210000001</v>
      </c>
      <c r="AO775" s="64">
        <v>485817.13063496002</v>
      </c>
      <c r="AP775" s="61">
        <f>+N775-'Приложение №2'!E775</f>
        <v>-8.188759908080101E-3</v>
      </c>
      <c r="AQ775" s="6">
        <f>1516969.84</f>
        <v>1516969.84</v>
      </c>
      <c r="AR775" s="3">
        <f t="shared" si="202"/>
        <v>266753.96999999997</v>
      </c>
      <c r="AS775" s="3">
        <f t="shared" si="203"/>
        <v>9414845.9999999981</v>
      </c>
      <c r="AT775" s="6">
        <f t="shared" si="200"/>
        <v>-84170.329999998212</v>
      </c>
      <c r="AU775" s="6" t="e">
        <v>#REF!</v>
      </c>
      <c r="AV775" s="6" t="e">
        <v>#REF!</v>
      </c>
      <c r="AW775" s="110">
        <f t="shared" si="197"/>
        <v>11532330.67818876</v>
      </c>
      <c r="AX775" s="55">
        <v>6199194.5115240002</v>
      </c>
      <c r="AY775" s="55">
        <v>2285392.4459099998</v>
      </c>
      <c r="AZ775" s="55">
        <v>2416203.8455380001</v>
      </c>
      <c r="BA775" s="55"/>
      <c r="BB775" s="55">
        <v>0</v>
      </c>
      <c r="BC775" s="55"/>
      <c r="BD775" s="55">
        <v>187860.32184275999</v>
      </c>
      <c r="BE775" s="55">
        <v>0</v>
      </c>
      <c r="BF775" s="55"/>
      <c r="BG775" s="55">
        <v>0</v>
      </c>
      <c r="BH775" s="55">
        <v>0</v>
      </c>
      <c r="BI775" s="55">
        <v>0</v>
      </c>
      <c r="BJ775" s="55"/>
      <c r="BK775" s="63"/>
      <c r="BL775" s="64">
        <v>443679.55337400001</v>
      </c>
      <c r="BM775" s="110">
        <f t="shared" si="198"/>
        <v>11532330.67818876</v>
      </c>
      <c r="BN775" s="55">
        <v>6199194.5115240002</v>
      </c>
      <c r="BO775" s="55">
        <v>2285392.4459099998</v>
      </c>
      <c r="BP775" s="55">
        <v>2416203.8455380001</v>
      </c>
      <c r="BQ775" s="55"/>
      <c r="BR775" s="55">
        <v>0</v>
      </c>
      <c r="BS775" s="55"/>
      <c r="BT775" s="55">
        <v>187860.32184275999</v>
      </c>
      <c r="BU775" s="55">
        <v>0</v>
      </c>
      <c r="BV775" s="55"/>
      <c r="BW775" s="55">
        <v>0</v>
      </c>
      <c r="BX775" s="55">
        <v>0</v>
      </c>
      <c r="BY775" s="55">
        <v>0</v>
      </c>
      <c r="BZ775" s="55"/>
      <c r="CA775" s="63"/>
      <c r="CB775" s="64">
        <v>443679.55337400001</v>
      </c>
      <c r="CD775" s="75"/>
      <c r="CE775" s="6"/>
    </row>
    <row r="776" spans="1:83" x14ac:dyDescent="0.25">
      <c r="A776" s="105">
        <f t="shared" si="199"/>
        <v>754</v>
      </c>
      <c r="B776" s="106">
        <f t="shared" si="193"/>
        <v>294</v>
      </c>
      <c r="C776" s="107" t="s">
        <v>224</v>
      </c>
      <c r="D776" s="107" t="s">
        <v>706</v>
      </c>
      <c r="E776" s="128">
        <v>1970</v>
      </c>
      <c r="F776" s="128">
        <v>2015</v>
      </c>
      <c r="G776" s="128" t="s">
        <v>64</v>
      </c>
      <c r="H776" s="128">
        <v>4</v>
      </c>
      <c r="I776" s="128">
        <v>2</v>
      </c>
      <c r="J776" s="63">
        <v>1403.6</v>
      </c>
      <c r="K776" s="63">
        <v>1288.25</v>
      </c>
      <c r="L776" s="63">
        <v>0</v>
      </c>
      <c r="M776" s="129">
        <v>53</v>
      </c>
      <c r="N776" s="108">
        <v>5742442.7000000002</v>
      </c>
      <c r="O776" s="63"/>
      <c r="P776" s="62">
        <v>182520.67</v>
      </c>
      <c r="Q776" s="63"/>
      <c r="R776" s="62">
        <v>837432.4</v>
      </c>
      <c r="S776" s="62">
        <v>4722489.63</v>
      </c>
      <c r="T776" s="63"/>
      <c r="U776" s="63">
        <v>4457.5530298684298</v>
      </c>
      <c r="V776" s="63">
        <v>1396.2830200640001</v>
      </c>
      <c r="W776" s="59">
        <v>2024</v>
      </c>
      <c r="X776" s="6" t="e">
        <v>#REF!</v>
      </c>
      <c r="Z776" s="62">
        <f t="shared" si="201"/>
        <v>16293169.239999998</v>
      </c>
      <c r="AA776" s="55">
        <v>3670168.8759317398</v>
      </c>
      <c r="AB776" s="55">
        <v>1345860.72497352</v>
      </c>
      <c r="AC776" s="55">
        <v>1406108.636961</v>
      </c>
      <c r="AD776" s="55">
        <v>880329.51331247995</v>
      </c>
      <c r="AE776" s="55">
        <v>0</v>
      </c>
      <c r="AF776" s="55"/>
      <c r="AG776" s="55">
        <v>121162.59054059999</v>
      </c>
      <c r="AH776" s="55">
        <v>0</v>
      </c>
      <c r="AI776" s="55">
        <v>6904771.3217195999</v>
      </c>
      <c r="AJ776" s="55">
        <v>0</v>
      </c>
      <c r="AK776" s="55">
        <v>0</v>
      </c>
      <c r="AL776" s="55">
        <v>0</v>
      </c>
      <c r="AM776" s="55">
        <v>1488502.7597000001</v>
      </c>
      <c r="AN776" s="63">
        <v>162931.6924</v>
      </c>
      <c r="AO776" s="64">
        <v>313333.12446105998</v>
      </c>
      <c r="AP776" s="61">
        <f>+N776-'Приложение №2'!E776</f>
        <v>9.2719998210668564E-3</v>
      </c>
      <c r="AQ776" s="6">
        <f>699460.82</f>
        <v>699460.82</v>
      </c>
      <c r="AR776" s="3">
        <f t="shared" si="202"/>
        <v>137971.57499999998</v>
      </c>
      <c r="AS776" s="3">
        <f t="shared" si="203"/>
        <v>4869585</v>
      </c>
      <c r="AT776" s="6">
        <f t="shared" si="200"/>
        <v>-147095.37000000011</v>
      </c>
      <c r="AU776" s="6" t="e">
        <v>#REF!</v>
      </c>
      <c r="AV776" s="6" t="e">
        <v>#REF!</v>
      </c>
      <c r="AW776" s="110">
        <f t="shared" si="197"/>
        <v>5742442.6907280004</v>
      </c>
      <c r="AX776" s="55">
        <v>3982032.6019740002</v>
      </c>
      <c r="AY776" s="55"/>
      <c r="AZ776" s="55">
        <v>1551107.314554</v>
      </c>
      <c r="BA776" s="55"/>
      <c r="BB776" s="55">
        <v>0</v>
      </c>
      <c r="BC776" s="55"/>
      <c r="BD776" s="55">
        <v>121162.59054059999</v>
      </c>
      <c r="BE776" s="55">
        <v>0</v>
      </c>
      <c r="BF776" s="55"/>
      <c r="BG776" s="55">
        <v>0</v>
      </c>
      <c r="BH776" s="55">
        <v>0</v>
      </c>
      <c r="BI776" s="55">
        <v>0</v>
      </c>
      <c r="BJ776" s="55"/>
      <c r="BK776" s="63"/>
      <c r="BL776" s="64">
        <v>88140.183659400005</v>
      </c>
      <c r="BM776" s="110">
        <f t="shared" si="198"/>
        <v>5742442.6907280004</v>
      </c>
      <c r="BN776" s="55">
        <v>3982032.6019740002</v>
      </c>
      <c r="BO776" s="55"/>
      <c r="BP776" s="55">
        <v>1551107.314554</v>
      </c>
      <c r="BQ776" s="55"/>
      <c r="BR776" s="55">
        <v>0</v>
      </c>
      <c r="BS776" s="55"/>
      <c r="BT776" s="55">
        <v>121162.59054059999</v>
      </c>
      <c r="BU776" s="55">
        <v>0</v>
      </c>
      <c r="BV776" s="55"/>
      <c r="BW776" s="55">
        <v>0</v>
      </c>
      <c r="BX776" s="55">
        <v>0</v>
      </c>
      <c r="BY776" s="55">
        <v>0</v>
      </c>
      <c r="BZ776" s="55"/>
      <c r="CA776" s="63"/>
      <c r="CB776" s="64">
        <v>88140.183659400005</v>
      </c>
      <c r="CD776" s="75"/>
      <c r="CE776" s="6"/>
    </row>
    <row r="777" spans="1:83" x14ac:dyDescent="0.25">
      <c r="A777" s="105">
        <f t="shared" si="199"/>
        <v>755</v>
      </c>
      <c r="B777" s="106">
        <f t="shared" si="193"/>
        <v>295</v>
      </c>
      <c r="C777" s="107" t="s">
        <v>224</v>
      </c>
      <c r="D777" s="107" t="s">
        <v>707</v>
      </c>
      <c r="E777" s="128">
        <v>1970</v>
      </c>
      <c r="F777" s="128">
        <v>2015</v>
      </c>
      <c r="G777" s="128" t="s">
        <v>64</v>
      </c>
      <c r="H777" s="128">
        <v>4</v>
      </c>
      <c r="I777" s="128">
        <v>2</v>
      </c>
      <c r="J777" s="63">
        <v>1397.9</v>
      </c>
      <c r="K777" s="63">
        <v>1284</v>
      </c>
      <c r="L777" s="63">
        <v>0</v>
      </c>
      <c r="M777" s="129">
        <v>70</v>
      </c>
      <c r="N777" s="108">
        <v>12145710.699999999</v>
      </c>
      <c r="O777" s="63"/>
      <c r="P777" s="62">
        <v>1025873.11</v>
      </c>
      <c r="Q777" s="63"/>
      <c r="R777" s="62">
        <v>137516.4</v>
      </c>
      <c r="S777" s="62">
        <v>4853520</v>
      </c>
      <c r="T777" s="62">
        <v>6128801.1900000004</v>
      </c>
      <c r="U777" s="63">
        <v>9459.2762478264303</v>
      </c>
      <c r="V777" s="63">
        <v>1397.2830200640001</v>
      </c>
      <c r="W777" s="59">
        <v>2024</v>
      </c>
      <c r="X777" s="6" t="e">
        <v>#REF!</v>
      </c>
      <c r="Z777" s="62">
        <f t="shared" si="201"/>
        <v>16240473.409999998</v>
      </c>
      <c r="AA777" s="55">
        <v>3658298.7075725999</v>
      </c>
      <c r="AB777" s="55">
        <v>1341507.9059104801</v>
      </c>
      <c r="AC777" s="55">
        <v>1401560.9593595399</v>
      </c>
      <c r="AD777" s="55">
        <v>877482.32671679999</v>
      </c>
      <c r="AE777" s="55">
        <v>0</v>
      </c>
      <c r="AF777" s="55"/>
      <c r="AG777" s="55">
        <v>120770.72210951999</v>
      </c>
      <c r="AH777" s="55">
        <v>0</v>
      </c>
      <c r="AI777" s="55">
        <v>6882439.7186495997</v>
      </c>
      <c r="AJ777" s="55">
        <v>0</v>
      </c>
      <c r="AK777" s="55">
        <v>0</v>
      </c>
      <c r="AL777" s="55">
        <v>0</v>
      </c>
      <c r="AM777" s="55">
        <v>1483688.602</v>
      </c>
      <c r="AN777" s="63">
        <v>162404.7341</v>
      </c>
      <c r="AO777" s="64">
        <v>312319.73358146002</v>
      </c>
      <c r="AP777" s="61">
        <f>+N777-'Приложение №2'!E777</f>
        <v>-2.2091381251811981E-3</v>
      </c>
      <c r="AQ777" s="6">
        <f>676023.93</f>
        <v>676023.93</v>
      </c>
      <c r="AR777" s="3">
        <f t="shared" si="202"/>
        <v>137516.4</v>
      </c>
      <c r="AS777" s="3">
        <f t="shared" si="203"/>
        <v>4853520</v>
      </c>
      <c r="AT777" s="6">
        <f t="shared" si="200"/>
        <v>0</v>
      </c>
      <c r="AU777" s="6" t="e">
        <v>#REF!</v>
      </c>
      <c r="AV777" s="6" t="e">
        <v>#REF!</v>
      </c>
      <c r="AW777" s="110">
        <f t="shared" si="197"/>
        <v>12145710.702209137</v>
      </c>
      <c r="AX777" s="55">
        <v>3658298.7075725999</v>
      </c>
      <c r="AY777" s="55"/>
      <c r="AZ777" s="55">
        <v>1401560.9593595399</v>
      </c>
      <c r="BA777" s="55"/>
      <c r="BB777" s="55">
        <v>0</v>
      </c>
      <c r="BC777" s="55"/>
      <c r="BD777" s="55">
        <v>120770.72210951999</v>
      </c>
      <c r="BE777" s="55">
        <v>0</v>
      </c>
      <c r="BF777" s="55">
        <v>6882439.7186495997</v>
      </c>
      <c r="BG777" s="55">
        <v>0</v>
      </c>
      <c r="BH777" s="55">
        <v>0</v>
      </c>
      <c r="BI777" s="55">
        <v>0</v>
      </c>
      <c r="BJ777" s="55"/>
      <c r="BK777" s="63"/>
      <c r="BL777" s="64">
        <v>82640.594517880003</v>
      </c>
      <c r="BM777" s="110">
        <f t="shared" si="198"/>
        <v>12145710.702209137</v>
      </c>
      <c r="BN777" s="55">
        <v>3658298.7075725999</v>
      </c>
      <c r="BO777" s="55"/>
      <c r="BP777" s="55">
        <v>1401560.9593595399</v>
      </c>
      <c r="BQ777" s="55"/>
      <c r="BR777" s="55">
        <v>0</v>
      </c>
      <c r="BS777" s="55"/>
      <c r="BT777" s="55">
        <v>120770.72210951999</v>
      </c>
      <c r="BU777" s="55">
        <v>0</v>
      </c>
      <c r="BV777" s="55">
        <v>6882439.7186495997</v>
      </c>
      <c r="BW777" s="55">
        <v>0</v>
      </c>
      <c r="BX777" s="55">
        <v>0</v>
      </c>
      <c r="BY777" s="55">
        <v>0</v>
      </c>
      <c r="BZ777" s="55"/>
      <c r="CA777" s="63"/>
      <c r="CB777" s="64">
        <v>82640.594517880003</v>
      </c>
      <c r="CD777" s="75"/>
      <c r="CE777" s="6"/>
    </row>
    <row r="778" spans="1:83" x14ac:dyDescent="0.25">
      <c r="A778" s="105">
        <f t="shared" si="199"/>
        <v>756</v>
      </c>
      <c r="B778" s="106">
        <f t="shared" si="193"/>
        <v>296</v>
      </c>
      <c r="C778" s="107" t="s">
        <v>224</v>
      </c>
      <c r="D778" s="107" t="s">
        <v>708</v>
      </c>
      <c r="E778" s="128">
        <v>1970</v>
      </c>
      <c r="F778" s="128">
        <v>2015</v>
      </c>
      <c r="G778" s="128" t="s">
        <v>64</v>
      </c>
      <c r="H778" s="128">
        <v>4</v>
      </c>
      <c r="I778" s="128">
        <v>2</v>
      </c>
      <c r="J778" s="63">
        <v>1401</v>
      </c>
      <c r="K778" s="63">
        <v>1279.2</v>
      </c>
      <c r="L778" s="63">
        <v>0</v>
      </c>
      <c r="M778" s="129">
        <v>66</v>
      </c>
      <c r="N778" s="108">
        <v>12143811.449999999</v>
      </c>
      <c r="O778" s="63"/>
      <c r="P778" s="62">
        <v>1025712.69</v>
      </c>
      <c r="Q778" s="63"/>
      <c r="R778" s="62">
        <v>137002.32</v>
      </c>
      <c r="S778" s="62">
        <v>4835376</v>
      </c>
      <c r="T778" s="62">
        <v>6145720.4400000004</v>
      </c>
      <c r="U778" s="63">
        <v>9493.28600148654</v>
      </c>
      <c r="V778" s="63">
        <v>1398.2830200640001</v>
      </c>
      <c r="W778" s="59">
        <v>2024</v>
      </c>
      <c r="X778" s="6" t="e">
        <v>#REF!</v>
      </c>
      <c r="Z778" s="62">
        <f t="shared" si="201"/>
        <v>16237933.850000001</v>
      </c>
      <c r="AA778" s="55">
        <v>3657726.6514807199</v>
      </c>
      <c r="AB778" s="55">
        <v>1341298.12793004</v>
      </c>
      <c r="AC778" s="55">
        <v>1401341.7924949799</v>
      </c>
      <c r="AD778" s="55">
        <v>877345.11290496006</v>
      </c>
      <c r="AE778" s="55">
        <v>0</v>
      </c>
      <c r="AF778" s="55"/>
      <c r="AG778" s="55">
        <v>120751.8388482</v>
      </c>
      <c r="AH778" s="55">
        <v>0</v>
      </c>
      <c r="AI778" s="55">
        <v>6881363.4984066002</v>
      </c>
      <c r="AJ778" s="55">
        <v>0</v>
      </c>
      <c r="AK778" s="55">
        <v>0</v>
      </c>
      <c r="AL778" s="55">
        <v>0</v>
      </c>
      <c r="AM778" s="55">
        <v>1483456.594</v>
      </c>
      <c r="AN778" s="63">
        <v>162379.33850000001</v>
      </c>
      <c r="AO778" s="64">
        <v>312270.89543450001</v>
      </c>
      <c r="AP778" s="61">
        <f>+N778-'Приложение №2'!E778</f>
        <v>-3.1015798449516296E-3</v>
      </c>
      <c r="AQ778" s="6">
        <f>752403.54</f>
        <v>752403.54</v>
      </c>
      <c r="AR778" s="3">
        <f t="shared" si="202"/>
        <v>137002.32</v>
      </c>
      <c r="AS778" s="3">
        <f t="shared" si="203"/>
        <v>4835376</v>
      </c>
      <c r="AT778" s="6">
        <f t="shared" si="200"/>
        <v>0</v>
      </c>
      <c r="AU778" s="6" t="e">
        <v>#REF!</v>
      </c>
      <c r="AV778" s="6" t="e">
        <v>#REF!</v>
      </c>
      <c r="AW778" s="110">
        <f t="shared" si="197"/>
        <v>12143811.453101579</v>
      </c>
      <c r="AX778" s="55">
        <v>3657726.6514807199</v>
      </c>
      <c r="AY778" s="55"/>
      <c r="AZ778" s="55">
        <v>1401341.7924949799</v>
      </c>
      <c r="BA778" s="55"/>
      <c r="BB778" s="55">
        <v>0</v>
      </c>
      <c r="BC778" s="55"/>
      <c r="BD778" s="55">
        <v>120751.8388482</v>
      </c>
      <c r="BE778" s="55">
        <v>0</v>
      </c>
      <c r="BF778" s="55">
        <v>6881363.4984066002</v>
      </c>
      <c r="BG778" s="55">
        <v>0</v>
      </c>
      <c r="BH778" s="55">
        <v>0</v>
      </c>
      <c r="BI778" s="55">
        <v>0</v>
      </c>
      <c r="BJ778" s="55"/>
      <c r="BK778" s="63"/>
      <c r="BL778" s="64">
        <v>82627.671871080005</v>
      </c>
      <c r="BM778" s="110">
        <f t="shared" si="198"/>
        <v>12143811.453101579</v>
      </c>
      <c r="BN778" s="55">
        <v>3657726.6514807199</v>
      </c>
      <c r="BO778" s="55"/>
      <c r="BP778" s="55">
        <v>1401341.7924949799</v>
      </c>
      <c r="BQ778" s="55"/>
      <c r="BR778" s="55">
        <v>0</v>
      </c>
      <c r="BS778" s="55"/>
      <c r="BT778" s="55">
        <v>120751.8388482</v>
      </c>
      <c r="BU778" s="55">
        <v>0</v>
      </c>
      <c r="BV778" s="55">
        <v>6881363.4984066002</v>
      </c>
      <c r="BW778" s="55">
        <v>0</v>
      </c>
      <c r="BX778" s="55">
        <v>0</v>
      </c>
      <c r="BY778" s="55">
        <v>0</v>
      </c>
      <c r="BZ778" s="55"/>
      <c r="CA778" s="63"/>
      <c r="CB778" s="64">
        <v>82627.671871080005</v>
      </c>
      <c r="CD778" s="75"/>
      <c r="CE778" s="6"/>
    </row>
    <row r="779" spans="1:83" x14ac:dyDescent="0.25">
      <c r="A779" s="105">
        <f t="shared" si="199"/>
        <v>757</v>
      </c>
      <c r="B779" s="106">
        <f t="shared" si="193"/>
        <v>297</v>
      </c>
      <c r="C779" s="107" t="s">
        <v>224</v>
      </c>
      <c r="D779" s="107" t="s">
        <v>709</v>
      </c>
      <c r="E779" s="128">
        <v>1970</v>
      </c>
      <c r="F779" s="128">
        <v>2015</v>
      </c>
      <c r="G779" s="128" t="s">
        <v>64</v>
      </c>
      <c r="H779" s="128">
        <v>4</v>
      </c>
      <c r="I779" s="128">
        <v>2</v>
      </c>
      <c r="J779" s="63">
        <v>1391.9</v>
      </c>
      <c r="K779" s="63">
        <v>1360</v>
      </c>
      <c r="L779" s="63">
        <v>0</v>
      </c>
      <c r="M779" s="129">
        <v>56</v>
      </c>
      <c r="N779" s="108">
        <v>13671731.359999999</v>
      </c>
      <c r="O779" s="63"/>
      <c r="P779" s="62">
        <v>2814922.2</v>
      </c>
      <c r="Q779" s="63"/>
      <c r="R779" s="62">
        <v>710136.45</v>
      </c>
      <c r="S779" s="62">
        <v>4896000</v>
      </c>
      <c r="T779" s="62">
        <v>5250672.71</v>
      </c>
      <c r="U779" s="63">
        <v>10052.7436441176</v>
      </c>
      <c r="V779" s="63">
        <v>10052.7436441176</v>
      </c>
      <c r="W779" s="59">
        <v>2024</v>
      </c>
      <c r="X779" s="6" t="e">
        <v>#REF!</v>
      </c>
      <c r="Z779" s="62">
        <f t="shared" si="201"/>
        <v>16410623.789999999</v>
      </c>
      <c r="AA779" s="55">
        <v>3696626.46572856</v>
      </c>
      <c r="AB779" s="55">
        <v>1355562.79544238</v>
      </c>
      <c r="AC779" s="55">
        <v>1416245.0260610399</v>
      </c>
      <c r="AD779" s="55">
        <v>886675.65211008</v>
      </c>
      <c r="AE779" s="55">
        <v>0</v>
      </c>
      <c r="AF779" s="55"/>
      <c r="AG779" s="55">
        <v>122036.0252916</v>
      </c>
      <c r="AH779" s="55">
        <v>0</v>
      </c>
      <c r="AI779" s="55">
        <v>6954546.5894267997</v>
      </c>
      <c r="AJ779" s="55">
        <v>0</v>
      </c>
      <c r="AK779" s="55">
        <v>0</v>
      </c>
      <c r="AL779" s="55">
        <v>0</v>
      </c>
      <c r="AM779" s="55">
        <v>1499233.111</v>
      </c>
      <c r="AN779" s="63">
        <v>164106.23790000001</v>
      </c>
      <c r="AO779" s="64">
        <v>315591.88703953999</v>
      </c>
      <c r="AP779" s="61">
        <f>+N779-'Приложение №2'!E779</f>
        <v>3.9999987930059433E-3</v>
      </c>
      <c r="AQ779" s="1">
        <v>571416.44999999995</v>
      </c>
      <c r="AR779" s="3">
        <f>+(K779*10+L779*20)*12*0.85</f>
        <v>138720</v>
      </c>
      <c r="AS779" s="3">
        <f>+(K779*10+L779*20)*12*30</f>
        <v>4896000</v>
      </c>
      <c r="AT779" s="6">
        <f t="shared" si="200"/>
        <v>0</v>
      </c>
      <c r="AU779" s="6" t="e">
        <v>#REF!</v>
      </c>
      <c r="AV779" s="6" t="e">
        <v>#REF!</v>
      </c>
      <c r="AW779" s="62">
        <f t="shared" si="197"/>
        <v>13671731.356000001</v>
      </c>
      <c r="AX779" s="55">
        <v>4011119.128548</v>
      </c>
      <c r="AY779" s="55"/>
      <c r="AZ779" s="55">
        <v>1562537.0591879999</v>
      </c>
      <c r="BA779" s="55"/>
      <c r="BB779" s="55">
        <v>0</v>
      </c>
      <c r="BC779" s="55"/>
      <c r="BD779" s="55">
        <v>122036.0252916</v>
      </c>
      <c r="BE779" s="55">
        <v>0</v>
      </c>
      <c r="BF779" s="55">
        <v>7683464.0919540003</v>
      </c>
      <c r="BG779" s="55">
        <v>0</v>
      </c>
      <c r="BH779" s="55">
        <v>0</v>
      </c>
      <c r="BI779" s="55">
        <v>0</v>
      </c>
      <c r="BJ779" s="55"/>
      <c r="BK779" s="63"/>
      <c r="BL779" s="64">
        <v>292575.0510184</v>
      </c>
      <c r="BM779" s="62">
        <f t="shared" si="198"/>
        <v>13671731.356000001</v>
      </c>
      <c r="BN779" s="55">
        <v>4011119.128548</v>
      </c>
      <c r="BO779" s="55"/>
      <c r="BP779" s="55">
        <v>1562537.0591879999</v>
      </c>
      <c r="BQ779" s="55"/>
      <c r="BR779" s="55">
        <v>0</v>
      </c>
      <c r="BS779" s="55"/>
      <c r="BT779" s="55">
        <v>122036.0252916</v>
      </c>
      <c r="BU779" s="55">
        <v>0</v>
      </c>
      <c r="BV779" s="55">
        <v>7683464.0919540003</v>
      </c>
      <c r="BW779" s="55">
        <v>0</v>
      </c>
      <c r="BX779" s="55">
        <v>0</v>
      </c>
      <c r="BY779" s="55">
        <v>0</v>
      </c>
      <c r="BZ779" s="55"/>
      <c r="CA779" s="63"/>
      <c r="CB779" s="64">
        <v>292575.0510184</v>
      </c>
      <c r="CD779" s="75"/>
      <c r="CE779" s="6"/>
    </row>
    <row r="780" spans="1:83" x14ac:dyDescent="0.25">
      <c r="A780" s="105">
        <f t="shared" si="199"/>
        <v>758</v>
      </c>
      <c r="B780" s="106">
        <f t="shared" si="193"/>
        <v>298</v>
      </c>
      <c r="C780" s="107" t="s">
        <v>224</v>
      </c>
      <c r="D780" s="107" t="s">
        <v>495</v>
      </c>
      <c r="E780" s="128">
        <v>1970</v>
      </c>
      <c r="F780" s="128">
        <v>2015</v>
      </c>
      <c r="G780" s="128" t="s">
        <v>64</v>
      </c>
      <c r="H780" s="128">
        <v>4</v>
      </c>
      <c r="I780" s="128">
        <v>3</v>
      </c>
      <c r="J780" s="63">
        <v>2337.1999999999998</v>
      </c>
      <c r="K780" s="63">
        <v>1988.4</v>
      </c>
      <c r="L780" s="63">
        <v>46.7</v>
      </c>
      <c r="M780" s="129">
        <v>101</v>
      </c>
      <c r="N780" s="108">
        <v>2989464.92</v>
      </c>
      <c r="O780" s="63"/>
      <c r="P780" s="63"/>
      <c r="Q780" s="63"/>
      <c r="R780" s="62">
        <v>1193390.8500000001</v>
      </c>
      <c r="S780" s="62">
        <v>1796074.07</v>
      </c>
      <c r="T780" s="63"/>
      <c r="U780" s="63">
        <v>1468.9523470085801</v>
      </c>
      <c r="V780" s="63">
        <v>1468.9523470085801</v>
      </c>
      <c r="W780" s="59">
        <v>2024</v>
      </c>
      <c r="X780" s="6" t="e">
        <v>#REF!</v>
      </c>
      <c r="Z780" s="62">
        <f t="shared" si="201"/>
        <v>25877715.080000002</v>
      </c>
      <c r="AA780" s="55">
        <v>5829165.7651718399</v>
      </c>
      <c r="AB780" s="55">
        <v>2137570.6530305399</v>
      </c>
      <c r="AC780" s="55">
        <v>2233259.7213103799</v>
      </c>
      <c r="AD780" s="55">
        <v>1398188.1572114399</v>
      </c>
      <c r="AE780" s="55">
        <v>0</v>
      </c>
      <c r="AF780" s="55"/>
      <c r="AG780" s="55">
        <v>192437.14870883999</v>
      </c>
      <c r="AH780" s="55">
        <v>0</v>
      </c>
      <c r="AI780" s="55">
        <v>10966540.7948166</v>
      </c>
      <c r="AJ780" s="55">
        <v>0</v>
      </c>
      <c r="AK780" s="55">
        <v>0</v>
      </c>
      <c r="AL780" s="55">
        <v>0</v>
      </c>
      <c r="AM780" s="55">
        <v>2364122.6417999999</v>
      </c>
      <c r="AN780" s="63">
        <v>258777.1508</v>
      </c>
      <c r="AO780" s="64">
        <v>497653.04715036001</v>
      </c>
      <c r="AP780" s="61">
        <f>+N780-'Приложение №2'!E780</f>
        <v>-1.3971598818898201E-3</v>
      </c>
      <c r="AQ780" s="6">
        <f>960970.65-R462</f>
        <v>-687410.30345516989</v>
      </c>
      <c r="AR780" s="3">
        <f>+(K780*10+L780*20)*12*0.85</f>
        <v>212343.6</v>
      </c>
      <c r="AS780" s="3">
        <f>+(K780*10+L780*20)*12*30-S462</f>
        <v>1623815.4006580096</v>
      </c>
      <c r="AT780" s="6">
        <f t="shared" si="200"/>
        <v>172258.66934199049</v>
      </c>
      <c r="AU780" s="6" t="e">
        <v>#REF!</v>
      </c>
      <c r="AV780" s="6" t="e">
        <v>#REF!</v>
      </c>
      <c r="AW780" s="62">
        <f t="shared" si="197"/>
        <v>2989464.9213971598</v>
      </c>
      <c r="AX780" s="55"/>
      <c r="AY780" s="55"/>
      <c r="AZ780" s="55">
        <v>2475810.0485999999</v>
      </c>
      <c r="BA780" s="55"/>
      <c r="BB780" s="55">
        <v>0</v>
      </c>
      <c r="BC780" s="55"/>
      <c r="BD780" s="55"/>
      <c r="BE780" s="55"/>
      <c r="BF780" s="55"/>
      <c r="BG780" s="55">
        <v>0</v>
      </c>
      <c r="BH780" s="55">
        <v>0</v>
      </c>
      <c r="BI780" s="55">
        <v>0</v>
      </c>
      <c r="BJ780" s="55"/>
      <c r="BK780" s="63"/>
      <c r="BL780" s="64">
        <v>513654.87279716</v>
      </c>
      <c r="BM780" s="62">
        <f t="shared" si="198"/>
        <v>2989464.9213971598</v>
      </c>
      <c r="BN780" s="55"/>
      <c r="BO780" s="55"/>
      <c r="BP780" s="55">
        <v>2475810.0485999999</v>
      </c>
      <c r="BQ780" s="55"/>
      <c r="BR780" s="55">
        <v>0</v>
      </c>
      <c r="BS780" s="55"/>
      <c r="BT780" s="55"/>
      <c r="BU780" s="55"/>
      <c r="BV780" s="55"/>
      <c r="BW780" s="55">
        <v>0</v>
      </c>
      <c r="BX780" s="55">
        <v>0</v>
      </c>
      <c r="BY780" s="55">
        <v>0</v>
      </c>
      <c r="BZ780" s="55"/>
      <c r="CA780" s="63"/>
      <c r="CB780" s="64">
        <v>513654.87279716</v>
      </c>
      <c r="CD780" s="75"/>
      <c r="CE780" s="6"/>
    </row>
    <row r="781" spans="1:83" x14ac:dyDescent="0.25">
      <c r="A781" s="105">
        <f t="shared" si="199"/>
        <v>759</v>
      </c>
      <c r="B781" s="106">
        <f t="shared" si="193"/>
        <v>299</v>
      </c>
      <c r="C781" s="107" t="s">
        <v>224</v>
      </c>
      <c r="D781" s="107" t="s">
        <v>710</v>
      </c>
      <c r="E781" s="128">
        <v>1969</v>
      </c>
      <c r="F781" s="128">
        <v>2013</v>
      </c>
      <c r="G781" s="128" t="s">
        <v>64</v>
      </c>
      <c r="H781" s="128">
        <v>4</v>
      </c>
      <c r="I781" s="128">
        <v>2</v>
      </c>
      <c r="J781" s="63">
        <v>1404.7</v>
      </c>
      <c r="K781" s="63">
        <v>951</v>
      </c>
      <c r="L781" s="63">
        <v>348.8</v>
      </c>
      <c r="M781" s="129">
        <v>39</v>
      </c>
      <c r="N781" s="108">
        <v>6272789.9800000004</v>
      </c>
      <c r="O781" s="63"/>
      <c r="P781" s="63"/>
      <c r="Q781" s="63"/>
      <c r="R781" s="62">
        <v>1180690.03</v>
      </c>
      <c r="S781" s="62">
        <v>5092099.95</v>
      </c>
      <c r="T781" s="63"/>
      <c r="U781" s="63">
        <v>6105.62786244374</v>
      </c>
      <c r="V781" s="63">
        <v>1399.2830200640001</v>
      </c>
      <c r="W781" s="59">
        <v>2024</v>
      </c>
      <c r="X781" s="6" t="e">
        <v>#REF!</v>
      </c>
      <c r="Z781" s="62">
        <f t="shared" si="201"/>
        <v>16476652.310000001</v>
      </c>
      <c r="AA781" s="55">
        <v>3711499.9241174399</v>
      </c>
      <c r="AB781" s="55">
        <v>1361016.9358384199</v>
      </c>
      <c r="AC781" s="55">
        <v>1421943.3122823599</v>
      </c>
      <c r="AD781" s="55">
        <v>890243.21121791995</v>
      </c>
      <c r="AE781" s="55">
        <v>0</v>
      </c>
      <c r="AF781" s="55"/>
      <c r="AG781" s="55">
        <v>122527.0476276</v>
      </c>
      <c r="AH781" s="55">
        <v>0</v>
      </c>
      <c r="AI781" s="55">
        <v>6982528.3685892001</v>
      </c>
      <c r="AJ781" s="55">
        <v>0</v>
      </c>
      <c r="AK781" s="55">
        <v>0</v>
      </c>
      <c r="AL781" s="55">
        <v>0</v>
      </c>
      <c r="AM781" s="55">
        <v>1505265.3089999999</v>
      </c>
      <c r="AN781" s="63">
        <v>164766.52309999999</v>
      </c>
      <c r="AO781" s="64">
        <v>316861.67822706001</v>
      </c>
      <c r="AP781" s="61">
        <f>+N781-'Приложение №2'!E781</f>
        <v>-1.613999716937542E-3</v>
      </c>
      <c r="AQ781" s="6">
        <f>537787.09</f>
        <v>537787.09</v>
      </c>
      <c r="AR781" s="3">
        <f>+(K781*10.5+L781*21)*12*0.85</f>
        <v>176565.05999999997</v>
      </c>
      <c r="AS781" s="3">
        <f>+(K781*10.5+L781*21)*12*30</f>
        <v>6231707.9999999991</v>
      </c>
      <c r="AT781" s="6">
        <f t="shared" si="200"/>
        <v>-1139608.0499999989</v>
      </c>
      <c r="AU781" s="6" t="e">
        <v>#REF!</v>
      </c>
      <c r="AV781" s="6" t="e">
        <v>#REF!</v>
      </c>
      <c r="AW781" s="110">
        <f t="shared" si="197"/>
        <v>5806452.0971839996</v>
      </c>
      <c r="AX781" s="55">
        <v>4026579.3155700001</v>
      </c>
      <c r="AY781" s="55"/>
      <c r="AZ781" s="55">
        <v>1568314.713588</v>
      </c>
      <c r="BA781" s="55"/>
      <c r="BB781" s="55">
        <v>0</v>
      </c>
      <c r="BC781" s="55"/>
      <c r="BD781" s="55">
        <v>122527.0476276</v>
      </c>
      <c r="BE781" s="55">
        <v>0</v>
      </c>
      <c r="BF781" s="55"/>
      <c r="BG781" s="55">
        <v>0</v>
      </c>
      <c r="BH781" s="55">
        <v>0</v>
      </c>
      <c r="BI781" s="55">
        <v>0</v>
      </c>
      <c r="BJ781" s="55"/>
      <c r="BK781" s="63"/>
      <c r="BL781" s="64">
        <v>89031.020398399996</v>
      </c>
      <c r="BM781" s="110">
        <f t="shared" si="198"/>
        <v>5806452.0971839996</v>
      </c>
      <c r="BN781" s="55">
        <v>4026579.3155700001</v>
      </c>
      <c r="BO781" s="55"/>
      <c r="BP781" s="55">
        <v>1568314.713588</v>
      </c>
      <c r="BQ781" s="55"/>
      <c r="BR781" s="55">
        <v>0</v>
      </c>
      <c r="BS781" s="55"/>
      <c r="BT781" s="55">
        <v>122527.0476276</v>
      </c>
      <c r="BU781" s="55">
        <v>0</v>
      </c>
      <c r="BV781" s="55"/>
      <c r="BW781" s="55">
        <v>0</v>
      </c>
      <c r="BX781" s="55">
        <v>0</v>
      </c>
      <c r="BY781" s="55">
        <v>0</v>
      </c>
      <c r="BZ781" s="55"/>
      <c r="CA781" s="63"/>
      <c r="CB781" s="64">
        <v>89031.020398399996</v>
      </c>
      <c r="CD781" s="75"/>
      <c r="CE781" s="6"/>
    </row>
    <row r="782" spans="1:83" x14ac:dyDescent="0.25">
      <c r="A782" s="105">
        <f t="shared" si="199"/>
        <v>760</v>
      </c>
      <c r="B782" s="106">
        <f t="shared" si="193"/>
        <v>300</v>
      </c>
      <c r="C782" s="107" t="s">
        <v>224</v>
      </c>
      <c r="D782" s="107" t="s">
        <v>711</v>
      </c>
      <c r="E782" s="128">
        <v>1969</v>
      </c>
      <c r="F782" s="128">
        <v>2015</v>
      </c>
      <c r="G782" s="128" t="s">
        <v>64</v>
      </c>
      <c r="H782" s="128">
        <v>4</v>
      </c>
      <c r="I782" s="128">
        <v>2</v>
      </c>
      <c r="J782" s="63">
        <v>1374</v>
      </c>
      <c r="K782" s="63">
        <v>1181.29</v>
      </c>
      <c r="L782" s="63">
        <v>71.900000000000006</v>
      </c>
      <c r="M782" s="129">
        <v>60</v>
      </c>
      <c r="N782" s="108">
        <v>13001441.52</v>
      </c>
      <c r="O782" s="63"/>
      <c r="P782" s="62">
        <v>1032644.99</v>
      </c>
      <c r="Q782" s="63"/>
      <c r="R782" s="62">
        <v>141917.14000000001</v>
      </c>
      <c r="S782" s="62">
        <v>5008840.2</v>
      </c>
      <c r="T782" s="62">
        <v>6818039.1900000004</v>
      </c>
      <c r="U782" s="63">
        <v>11006.1386376876</v>
      </c>
      <c r="V782" s="63">
        <v>1400.2830200640001</v>
      </c>
      <c r="W782" s="59">
        <v>2024</v>
      </c>
      <c r="X782" s="6" t="e">
        <v>#REF!</v>
      </c>
      <c r="Z782" s="62">
        <f t="shared" si="201"/>
        <v>15905124.779999999</v>
      </c>
      <c r="AA782" s="55">
        <v>3582758.6997493198</v>
      </c>
      <c r="AB782" s="55">
        <v>1313807.1878118601</v>
      </c>
      <c r="AC782" s="55">
        <v>1372620.2030843401</v>
      </c>
      <c r="AD782" s="55">
        <v>859363.24454652006</v>
      </c>
      <c r="AE782" s="55">
        <v>0</v>
      </c>
      <c r="AF782" s="55"/>
      <c r="AG782" s="55">
        <v>118276.93283028</v>
      </c>
      <c r="AH782" s="55">
        <v>0</v>
      </c>
      <c r="AI782" s="55">
        <v>6740324.6043672003</v>
      </c>
      <c r="AJ782" s="55">
        <v>0</v>
      </c>
      <c r="AK782" s="55">
        <v>0</v>
      </c>
      <c r="AL782" s="55">
        <v>0</v>
      </c>
      <c r="AM782" s="55">
        <v>1453051.9990000001</v>
      </c>
      <c r="AN782" s="63">
        <v>159051.24780000001</v>
      </c>
      <c r="AO782" s="64">
        <v>305870.66081048001</v>
      </c>
      <c r="AP782" s="61">
        <f>+N782-'Приложение №2'!E782</f>
        <v>8.6859986186027527E-3</v>
      </c>
      <c r="AQ782" s="6">
        <f>637763.96</f>
        <v>637763.96</v>
      </c>
      <c r="AR782" s="3">
        <f>+(K782*10.5+L782*21)*12*0.85</f>
        <v>141917.139</v>
      </c>
      <c r="AS782" s="3">
        <f>+(K782*10.5+L782*21)*12*30</f>
        <v>5008840.2</v>
      </c>
      <c r="AT782" s="6">
        <f t="shared" si="200"/>
        <v>0</v>
      </c>
      <c r="AU782" s="6" t="e">
        <v>#REF!</v>
      </c>
      <c r="AV782" s="6" t="e">
        <v>#REF!</v>
      </c>
      <c r="AW782" s="110">
        <f t="shared" si="197"/>
        <v>13001441.511314001</v>
      </c>
      <c r="AX782" s="55">
        <v>3885914.2848959998</v>
      </c>
      <c r="AY782" s="55"/>
      <c r="AZ782" s="55">
        <v>1513519.582134</v>
      </c>
      <c r="BA782" s="55"/>
      <c r="BB782" s="55">
        <v>0</v>
      </c>
      <c r="BC782" s="55"/>
      <c r="BD782" s="55">
        <v>118276.93283028</v>
      </c>
      <c r="BE782" s="55">
        <v>0</v>
      </c>
      <c r="BF782" s="55">
        <v>7398774.3793740002</v>
      </c>
      <c r="BG782" s="55">
        <v>0</v>
      </c>
      <c r="BH782" s="55">
        <v>0</v>
      </c>
      <c r="BI782" s="55">
        <v>0</v>
      </c>
      <c r="BJ782" s="55"/>
      <c r="BK782" s="63"/>
      <c r="BL782" s="64">
        <v>84956.332079719999</v>
      </c>
      <c r="BM782" s="110">
        <f t="shared" si="198"/>
        <v>13001441.511314001</v>
      </c>
      <c r="BN782" s="55">
        <v>3885914.2848959998</v>
      </c>
      <c r="BO782" s="55"/>
      <c r="BP782" s="55">
        <v>1513519.582134</v>
      </c>
      <c r="BQ782" s="55"/>
      <c r="BR782" s="55">
        <v>0</v>
      </c>
      <c r="BS782" s="55"/>
      <c r="BT782" s="55">
        <v>118276.93283028</v>
      </c>
      <c r="BU782" s="55">
        <v>0</v>
      </c>
      <c r="BV782" s="55">
        <v>7398774.3793740002</v>
      </c>
      <c r="BW782" s="55">
        <v>0</v>
      </c>
      <c r="BX782" s="55">
        <v>0</v>
      </c>
      <c r="BY782" s="55">
        <v>0</v>
      </c>
      <c r="BZ782" s="55"/>
      <c r="CA782" s="63"/>
      <c r="CB782" s="64">
        <v>84956.332079719999</v>
      </c>
      <c r="CD782" s="75"/>
      <c r="CE782" s="6"/>
    </row>
    <row r="783" spans="1:83" x14ac:dyDescent="0.25">
      <c r="A783" s="105">
        <f t="shared" si="199"/>
        <v>761</v>
      </c>
      <c r="B783" s="106">
        <f t="shared" si="193"/>
        <v>301</v>
      </c>
      <c r="C783" s="53" t="s">
        <v>224</v>
      </c>
      <c r="D783" s="53" t="s">
        <v>712</v>
      </c>
      <c r="E783" s="54">
        <v>1971</v>
      </c>
      <c r="F783" s="54">
        <v>2017</v>
      </c>
      <c r="G783" s="54" t="s">
        <v>64</v>
      </c>
      <c r="H783" s="54">
        <v>4</v>
      </c>
      <c r="I783" s="54">
        <v>3</v>
      </c>
      <c r="J783" s="55">
        <v>2241.3000000000002</v>
      </c>
      <c r="K783" s="55">
        <v>1923.5</v>
      </c>
      <c r="L783" s="55">
        <v>103.1</v>
      </c>
      <c r="M783" s="56">
        <v>95</v>
      </c>
      <c r="N783" s="112">
        <v>3110187.22</v>
      </c>
      <c r="O783" s="63"/>
      <c r="P783" s="63"/>
      <c r="Q783" s="63"/>
      <c r="R783" s="62">
        <v>1168598.31</v>
      </c>
      <c r="S783" s="62">
        <v>1941588.91</v>
      </c>
      <c r="T783" s="63"/>
      <c r="U783" s="63">
        <v>1534.68233494523</v>
      </c>
      <c r="V783" s="63">
        <v>1534.68233494523</v>
      </c>
      <c r="W783" s="59">
        <v>2024</v>
      </c>
      <c r="X783" s="6" t="e">
        <v>#REF!</v>
      </c>
      <c r="Z783" s="62">
        <f t="shared" si="201"/>
        <v>3150457</v>
      </c>
      <c r="AA783" s="55">
        <v>0</v>
      </c>
      <c r="AB783" s="55">
        <v>0</v>
      </c>
      <c r="AC783" s="55">
        <v>2743903.125978</v>
      </c>
      <c r="AD783" s="55">
        <v>0</v>
      </c>
      <c r="AE783" s="55">
        <v>0</v>
      </c>
      <c r="AF783" s="55"/>
      <c r="AG783" s="55">
        <v>0</v>
      </c>
      <c r="AH783" s="55">
        <v>0</v>
      </c>
      <c r="AI783" s="55">
        <v>0</v>
      </c>
      <c r="AJ783" s="55">
        <v>0</v>
      </c>
      <c r="AK783" s="55">
        <v>0</v>
      </c>
      <c r="AL783" s="55">
        <v>0</v>
      </c>
      <c r="AM783" s="55">
        <v>315045.7</v>
      </c>
      <c r="AN783" s="63">
        <v>31504.57</v>
      </c>
      <c r="AO783" s="64">
        <v>60003.604022</v>
      </c>
      <c r="AP783" s="61">
        <f>+N783-'Приложение №2'!E783</f>
        <v>0</v>
      </c>
      <c r="AQ783" s="1">
        <v>951368.91</v>
      </c>
      <c r="AR783" s="3">
        <f>+(K783*10+L783*20)*12*0.85</f>
        <v>217229.4</v>
      </c>
      <c r="AS783" s="3">
        <f>+(K783*10+L783*20)*12*30</f>
        <v>7666920</v>
      </c>
      <c r="AT783" s="6">
        <f t="shared" si="200"/>
        <v>-5725331.0899999999</v>
      </c>
      <c r="AU783" s="6" t="e">
        <v>#REF!</v>
      </c>
      <c r="AV783" s="6" t="e">
        <v>#REF!</v>
      </c>
      <c r="AW783" s="62">
        <f t="shared" si="197"/>
        <v>3110187.22</v>
      </c>
      <c r="AX783" s="55">
        <v>0</v>
      </c>
      <c r="AY783" s="55">
        <v>0</v>
      </c>
      <c r="AZ783" s="55">
        <v>3043629.213492</v>
      </c>
      <c r="BA783" s="55">
        <v>0</v>
      </c>
      <c r="BB783" s="55">
        <v>0</v>
      </c>
      <c r="BC783" s="55"/>
      <c r="BD783" s="55"/>
      <c r="BE783" s="55">
        <v>0</v>
      </c>
      <c r="BF783" s="55">
        <v>0</v>
      </c>
      <c r="BG783" s="55">
        <v>0</v>
      </c>
      <c r="BH783" s="55">
        <v>0</v>
      </c>
      <c r="BI783" s="55">
        <v>0</v>
      </c>
      <c r="BJ783" s="55"/>
      <c r="BK783" s="63"/>
      <c r="BL783" s="111">
        <v>66558.006508000006</v>
      </c>
      <c r="BM783" s="62">
        <f t="shared" si="198"/>
        <v>3110187.22</v>
      </c>
      <c r="BN783" s="55">
        <v>0</v>
      </c>
      <c r="BO783" s="55">
        <v>0</v>
      </c>
      <c r="BP783" s="55">
        <v>3043629.213492</v>
      </c>
      <c r="BQ783" s="55">
        <v>0</v>
      </c>
      <c r="BR783" s="55">
        <v>0</v>
      </c>
      <c r="BS783" s="55"/>
      <c r="BT783" s="55"/>
      <c r="BU783" s="55">
        <v>0</v>
      </c>
      <c r="BV783" s="55">
        <v>0</v>
      </c>
      <c r="BW783" s="55">
        <v>0</v>
      </c>
      <c r="BX783" s="55">
        <v>0</v>
      </c>
      <c r="BY783" s="55">
        <v>0</v>
      </c>
      <c r="BZ783" s="55"/>
      <c r="CA783" s="63"/>
      <c r="CB783" s="64">
        <v>66558.006508000006</v>
      </c>
      <c r="CD783" s="75"/>
      <c r="CE783" s="6"/>
    </row>
    <row r="784" spans="1:83" x14ac:dyDescent="0.25">
      <c r="A784" s="105">
        <f t="shared" si="199"/>
        <v>762</v>
      </c>
      <c r="B784" s="106">
        <f t="shared" si="193"/>
        <v>302</v>
      </c>
      <c r="C784" s="107" t="s">
        <v>224</v>
      </c>
      <c r="D784" s="107" t="s">
        <v>713</v>
      </c>
      <c r="E784" s="128">
        <v>1971</v>
      </c>
      <c r="F784" s="128">
        <v>2015</v>
      </c>
      <c r="G784" s="128" t="s">
        <v>64</v>
      </c>
      <c r="H784" s="128">
        <v>4</v>
      </c>
      <c r="I784" s="128">
        <v>3</v>
      </c>
      <c r="J784" s="63">
        <v>2198.9</v>
      </c>
      <c r="K784" s="63">
        <v>1976.38</v>
      </c>
      <c r="L784" s="63">
        <v>127.2</v>
      </c>
      <c r="M784" s="129">
        <v>98</v>
      </c>
      <c r="N784" s="108">
        <v>6443087.9000000004</v>
      </c>
      <c r="O784" s="63"/>
      <c r="P784" s="63"/>
      <c r="Q784" s="63"/>
      <c r="R784" s="62">
        <v>1009148.89</v>
      </c>
      <c r="S784" s="62">
        <v>5433939.0099999998</v>
      </c>
      <c r="T784" s="63"/>
      <c r="U784" s="63">
        <v>3062.9155534850102</v>
      </c>
      <c r="V784" s="63">
        <v>3062.9155534850102</v>
      </c>
      <c r="W784" s="59">
        <v>2024</v>
      </c>
      <c r="X784" s="6" t="e">
        <v>#REF!</v>
      </c>
      <c r="Z784" s="62">
        <f t="shared" si="201"/>
        <v>6502812.7400000002</v>
      </c>
      <c r="AA784" s="55">
        <v>5790923.8181012403</v>
      </c>
      <c r="AB784" s="55">
        <v>0</v>
      </c>
      <c r="AC784" s="55">
        <v>0</v>
      </c>
      <c r="AD784" s="55">
        <v>0</v>
      </c>
      <c r="AE784" s="55">
        <v>0</v>
      </c>
      <c r="AF784" s="55"/>
      <c r="AG784" s="55">
        <v>0</v>
      </c>
      <c r="AH784" s="55">
        <v>0</v>
      </c>
      <c r="AI784" s="55">
        <v>0</v>
      </c>
      <c r="AJ784" s="55">
        <v>0</v>
      </c>
      <c r="AK784" s="55">
        <v>0</v>
      </c>
      <c r="AL784" s="55">
        <v>0</v>
      </c>
      <c r="AM784" s="55">
        <v>520225.01919999998</v>
      </c>
      <c r="AN784" s="63">
        <v>65028.127399999998</v>
      </c>
      <c r="AO784" s="64">
        <v>126635.77529876</v>
      </c>
      <c r="AP784" s="61">
        <f>+N784-'Приложение №2'!E784</f>
        <v>0</v>
      </c>
      <c r="AQ784" s="1">
        <v>781609.33</v>
      </c>
      <c r="AR784" s="3">
        <f>+(K784*10+L784*20)*12*0.85</f>
        <v>227539.56000000003</v>
      </c>
      <c r="AS784" s="3">
        <f>+(K784*10+L784*20)*12*30</f>
        <v>8030808.0000000009</v>
      </c>
      <c r="AT784" s="6">
        <f t="shared" si="200"/>
        <v>-2596868.9900000012</v>
      </c>
      <c r="AU784" s="6" t="e">
        <v>#REF!</v>
      </c>
      <c r="AV784" s="6" t="e">
        <v>#REF!</v>
      </c>
      <c r="AW784" s="62">
        <f t="shared" si="197"/>
        <v>6443087.8999999994</v>
      </c>
      <c r="AX784" s="55">
        <v>6305205.8189399997</v>
      </c>
      <c r="AY784" s="55">
        <v>0</v>
      </c>
      <c r="AZ784" s="55">
        <v>0</v>
      </c>
      <c r="BA784" s="55">
        <v>0</v>
      </c>
      <c r="BB784" s="55">
        <v>0</v>
      </c>
      <c r="BC784" s="55"/>
      <c r="BD784" s="55"/>
      <c r="BE784" s="55">
        <v>0</v>
      </c>
      <c r="BF784" s="55">
        <v>0</v>
      </c>
      <c r="BG784" s="55">
        <v>0</v>
      </c>
      <c r="BH784" s="55">
        <v>0</v>
      </c>
      <c r="BI784" s="55">
        <v>0</v>
      </c>
      <c r="BJ784" s="55"/>
      <c r="BK784" s="63"/>
      <c r="BL784" s="64">
        <v>137882.08106</v>
      </c>
      <c r="BM784" s="62">
        <f t="shared" si="198"/>
        <v>6443087.8999999994</v>
      </c>
      <c r="BN784" s="55">
        <v>6305205.8189399997</v>
      </c>
      <c r="BO784" s="55">
        <v>0</v>
      </c>
      <c r="BP784" s="55">
        <v>0</v>
      </c>
      <c r="BQ784" s="55">
        <v>0</v>
      </c>
      <c r="BR784" s="55">
        <v>0</v>
      </c>
      <c r="BS784" s="55"/>
      <c r="BT784" s="55"/>
      <c r="BU784" s="55">
        <v>0</v>
      </c>
      <c r="BV784" s="55">
        <v>0</v>
      </c>
      <c r="BW784" s="55">
        <v>0</v>
      </c>
      <c r="BX784" s="55">
        <v>0</v>
      </c>
      <c r="BY784" s="55">
        <v>0</v>
      </c>
      <c r="BZ784" s="55"/>
      <c r="CA784" s="63"/>
      <c r="CB784" s="64">
        <v>137882.08106</v>
      </c>
      <c r="CD784" s="75"/>
      <c r="CE784" s="6"/>
    </row>
    <row r="785" spans="1:83" x14ac:dyDescent="0.25">
      <c r="A785" s="105">
        <f t="shared" si="199"/>
        <v>763</v>
      </c>
      <c r="B785" s="106">
        <f t="shared" si="193"/>
        <v>303</v>
      </c>
      <c r="C785" s="53" t="s">
        <v>224</v>
      </c>
      <c r="D785" s="53" t="s">
        <v>237</v>
      </c>
      <c r="E785" s="54">
        <v>1974</v>
      </c>
      <c r="F785" s="54">
        <v>2014</v>
      </c>
      <c r="G785" s="54" t="s">
        <v>64</v>
      </c>
      <c r="H785" s="54">
        <v>4</v>
      </c>
      <c r="I785" s="54">
        <v>6</v>
      </c>
      <c r="J785" s="55">
        <v>4464.7</v>
      </c>
      <c r="K785" s="55">
        <v>4072.9</v>
      </c>
      <c r="L785" s="55">
        <v>35.1</v>
      </c>
      <c r="M785" s="56">
        <v>161</v>
      </c>
      <c r="N785" s="112">
        <v>11997336.199999999</v>
      </c>
      <c r="O785" s="55"/>
      <c r="P785" s="63"/>
      <c r="Q785" s="63"/>
      <c r="R785" s="63"/>
      <c r="S785" s="62">
        <v>11997336.199999999</v>
      </c>
      <c r="T785" s="63"/>
      <c r="U785" s="55">
        <v>2920.48106044304</v>
      </c>
      <c r="V785" s="55">
        <v>2920.48106044304</v>
      </c>
      <c r="W785" s="59">
        <v>2024</v>
      </c>
      <c r="X785" s="6" t="e">
        <v>#REF!</v>
      </c>
      <c r="Z785" s="62">
        <f t="shared" si="201"/>
        <v>13183885.930000018</v>
      </c>
      <c r="AA785" s="55">
        <v>11740593.201699199</v>
      </c>
      <c r="AB785" s="55">
        <v>0</v>
      </c>
      <c r="AC785" s="55">
        <v>0</v>
      </c>
      <c r="AD785" s="55">
        <v>0</v>
      </c>
      <c r="AE785" s="55">
        <v>0</v>
      </c>
      <c r="AF785" s="55"/>
      <c r="AG785" s="55">
        <v>0</v>
      </c>
      <c r="AH785" s="55">
        <v>0</v>
      </c>
      <c r="AI785" s="55">
        <v>0</v>
      </c>
      <c r="AJ785" s="55">
        <v>0</v>
      </c>
      <c r="AK785" s="55">
        <v>0</v>
      </c>
      <c r="AL785" s="55">
        <v>0</v>
      </c>
      <c r="AM785" s="55">
        <v>1054710.8744000001</v>
      </c>
      <c r="AN785" s="63">
        <v>131838.85930000001</v>
      </c>
      <c r="AO785" s="64">
        <v>256742.99460082001</v>
      </c>
      <c r="AP785" s="61">
        <f>+N785-'Приложение №2'!E785</f>
        <v>3.6999806761741638E-3</v>
      </c>
      <c r="AQ785" s="6">
        <f>1783982.53-1137414.79-R162</f>
        <v>-860352.16999999993</v>
      </c>
      <c r="AR785" s="3">
        <f>+(K785*10+L785*20)*12*0.85</f>
        <v>422596.2</v>
      </c>
      <c r="AS785" s="3">
        <f>+(K785*10+L785*20)*12*30-1312050.47-S162</f>
        <v>13603109.529999999</v>
      </c>
      <c r="AT785" s="6">
        <f t="shared" si="200"/>
        <v>-1605773.33</v>
      </c>
      <c r="AU785" s="6" t="e">
        <v>#REF!</v>
      </c>
      <c r="AV785" s="6" t="e">
        <v>#REF!</v>
      </c>
      <c r="AW785" s="62">
        <f t="shared" si="197"/>
        <v>11997336.196300019</v>
      </c>
      <c r="AX785" s="55">
        <v>11740593.201699199</v>
      </c>
      <c r="AY785" s="55">
        <v>0</v>
      </c>
      <c r="AZ785" s="55">
        <v>0</v>
      </c>
      <c r="BA785" s="55">
        <v>0</v>
      </c>
      <c r="BB785" s="55">
        <v>0</v>
      </c>
      <c r="BC785" s="55"/>
      <c r="BD785" s="55"/>
      <c r="BE785" s="55">
        <v>0</v>
      </c>
      <c r="BF785" s="55">
        <v>0</v>
      </c>
      <c r="BG785" s="55">
        <v>0</v>
      </c>
      <c r="BH785" s="55">
        <v>0</v>
      </c>
      <c r="BI785" s="55">
        <v>0</v>
      </c>
      <c r="BJ785" s="55"/>
      <c r="BK785" s="63"/>
      <c r="BL785" s="111">
        <v>256742.99460082001</v>
      </c>
      <c r="BM785" s="62">
        <f t="shared" si="198"/>
        <v>11997336.196300019</v>
      </c>
      <c r="BN785" s="55">
        <v>11740593.201699199</v>
      </c>
      <c r="BO785" s="55">
        <v>0</v>
      </c>
      <c r="BP785" s="55">
        <v>0</v>
      </c>
      <c r="BQ785" s="55">
        <v>0</v>
      </c>
      <c r="BR785" s="55">
        <v>0</v>
      </c>
      <c r="BS785" s="55"/>
      <c r="BT785" s="55"/>
      <c r="BU785" s="55">
        <v>0</v>
      </c>
      <c r="BV785" s="55">
        <v>0</v>
      </c>
      <c r="BW785" s="55">
        <v>0</v>
      </c>
      <c r="BX785" s="55">
        <v>0</v>
      </c>
      <c r="BY785" s="55">
        <v>0</v>
      </c>
      <c r="BZ785" s="55"/>
      <c r="CA785" s="63"/>
      <c r="CB785" s="64">
        <v>256742.99460082001</v>
      </c>
      <c r="CD785" s="75"/>
      <c r="CE785" s="6"/>
    </row>
    <row r="786" spans="1:83" x14ac:dyDescent="0.25">
      <c r="A786" s="105">
        <f t="shared" si="199"/>
        <v>764</v>
      </c>
      <c r="B786" s="106">
        <f t="shared" si="193"/>
        <v>304</v>
      </c>
      <c r="C786" s="107" t="s">
        <v>224</v>
      </c>
      <c r="D786" s="107" t="s">
        <v>714</v>
      </c>
      <c r="E786" s="128">
        <v>1968</v>
      </c>
      <c r="F786" s="128">
        <v>2013</v>
      </c>
      <c r="G786" s="128" t="s">
        <v>64</v>
      </c>
      <c r="H786" s="128">
        <v>4</v>
      </c>
      <c r="I786" s="128">
        <v>2</v>
      </c>
      <c r="J786" s="63">
        <v>1327.8</v>
      </c>
      <c r="K786" s="63">
        <v>1187.9000000000001</v>
      </c>
      <c r="L786" s="63">
        <v>88.4</v>
      </c>
      <c r="M786" s="129">
        <v>51</v>
      </c>
      <c r="N786" s="108">
        <v>12543558.130000001</v>
      </c>
      <c r="O786" s="63"/>
      <c r="P786" s="62">
        <v>981537.54</v>
      </c>
      <c r="Q786" s="63"/>
      <c r="R786" s="62">
        <v>146159.37</v>
      </c>
      <c r="S786" s="62">
        <v>5158566</v>
      </c>
      <c r="T786" s="62">
        <v>6257295.2199999997</v>
      </c>
      <c r="U786" s="63">
        <v>10559.4394600572</v>
      </c>
      <c r="V786" s="63">
        <v>1402.2830200640001</v>
      </c>
      <c r="W786" s="59">
        <v>2024</v>
      </c>
      <c r="X786" s="6" t="e">
        <v>#REF!</v>
      </c>
      <c r="Z786" s="62">
        <f t="shared" si="201"/>
        <v>15295757.84</v>
      </c>
      <c r="AA786" s="55">
        <v>3445493.8413932398</v>
      </c>
      <c r="AB786" s="55">
        <v>1263471.79490826</v>
      </c>
      <c r="AC786" s="55">
        <v>1320031.53024918</v>
      </c>
      <c r="AD786" s="55">
        <v>826438.78871232003</v>
      </c>
      <c r="AE786" s="55">
        <v>0</v>
      </c>
      <c r="AF786" s="55"/>
      <c r="AG786" s="55">
        <v>113745.43921775999</v>
      </c>
      <c r="AH786" s="55">
        <v>0</v>
      </c>
      <c r="AI786" s="55">
        <v>6482085.1365059996</v>
      </c>
      <c r="AJ786" s="55">
        <v>0</v>
      </c>
      <c r="AK786" s="55">
        <v>0</v>
      </c>
      <c r="AL786" s="55">
        <v>0</v>
      </c>
      <c r="AM786" s="55">
        <v>1397381.7749999999</v>
      </c>
      <c r="AN786" s="63">
        <v>152957.5784</v>
      </c>
      <c r="AO786" s="64">
        <v>294151.95561324002</v>
      </c>
      <c r="AP786" s="61">
        <f>+N786-'Приложение №2'!E786</f>
        <v>-4.6020001173019409E-3</v>
      </c>
      <c r="AQ786" s="6">
        <f>611049.15</f>
        <v>611049.15</v>
      </c>
      <c r="AR786" s="3">
        <f>+(K786*10.5+L786*21)*12*0.85</f>
        <v>146159.37</v>
      </c>
      <c r="AS786" s="3">
        <f>+(K786*10.5+L786*21)*12*30</f>
        <v>5158566</v>
      </c>
      <c r="AT786" s="6">
        <f t="shared" si="200"/>
        <v>0</v>
      </c>
      <c r="AU786" s="6" t="e">
        <v>#REF!</v>
      </c>
      <c r="AV786" s="6" t="e">
        <v>#REF!</v>
      </c>
      <c r="AW786" s="110">
        <f t="shared" si="197"/>
        <v>12543558.134602001</v>
      </c>
      <c r="AX786" s="55">
        <v>3735025.2035039999</v>
      </c>
      <c r="AY786" s="55"/>
      <c r="AZ786" s="55">
        <v>1454526.423042</v>
      </c>
      <c r="BA786" s="55"/>
      <c r="BB786" s="55">
        <v>0</v>
      </c>
      <c r="BC786" s="55"/>
      <c r="BD786" s="55">
        <v>113745.43921775999</v>
      </c>
      <c r="BE786" s="55">
        <v>0</v>
      </c>
      <c r="BF786" s="55">
        <v>7157698.5886559999</v>
      </c>
      <c r="BG786" s="55">
        <v>0</v>
      </c>
      <c r="BH786" s="55">
        <v>0</v>
      </c>
      <c r="BI786" s="55">
        <v>0</v>
      </c>
      <c r="BJ786" s="55"/>
      <c r="BK786" s="63"/>
      <c r="BL786" s="64">
        <v>82562.480182240004</v>
      </c>
      <c r="BM786" s="110">
        <f t="shared" si="198"/>
        <v>12543558.134602001</v>
      </c>
      <c r="BN786" s="55">
        <v>3735025.2035039999</v>
      </c>
      <c r="BO786" s="55"/>
      <c r="BP786" s="55">
        <v>1454526.423042</v>
      </c>
      <c r="BQ786" s="55"/>
      <c r="BR786" s="55">
        <v>0</v>
      </c>
      <c r="BS786" s="55"/>
      <c r="BT786" s="55">
        <v>113745.43921775999</v>
      </c>
      <c r="BU786" s="55">
        <v>0</v>
      </c>
      <c r="BV786" s="55">
        <v>7157698.5886559999</v>
      </c>
      <c r="BW786" s="55">
        <v>0</v>
      </c>
      <c r="BX786" s="55">
        <v>0</v>
      </c>
      <c r="BY786" s="55">
        <v>0</v>
      </c>
      <c r="BZ786" s="55"/>
      <c r="CA786" s="63"/>
      <c r="CB786" s="64">
        <v>82562.480182240004</v>
      </c>
      <c r="CD786" s="75"/>
      <c r="CE786" s="6"/>
    </row>
    <row r="787" spans="1:83" x14ac:dyDescent="0.25">
      <c r="A787" s="105">
        <f t="shared" si="199"/>
        <v>765</v>
      </c>
      <c r="B787" s="106">
        <f t="shared" si="193"/>
        <v>305</v>
      </c>
      <c r="C787" s="107" t="s">
        <v>224</v>
      </c>
      <c r="D787" s="107" t="s">
        <v>715</v>
      </c>
      <c r="E787" s="128">
        <v>1988</v>
      </c>
      <c r="F787" s="128"/>
      <c r="G787" s="128" t="s">
        <v>64</v>
      </c>
      <c r="H787" s="128">
        <v>9</v>
      </c>
      <c r="I787" s="128">
        <v>1</v>
      </c>
      <c r="J787" s="63">
        <v>2265.4</v>
      </c>
      <c r="K787" s="63">
        <v>2006.2</v>
      </c>
      <c r="L787" s="63">
        <v>53.4</v>
      </c>
      <c r="M787" s="129">
        <v>74</v>
      </c>
      <c r="N787" s="108">
        <v>6596393.3200000003</v>
      </c>
      <c r="O787" s="63"/>
      <c r="P787" s="63"/>
      <c r="Q787" s="63"/>
      <c r="R787" s="62">
        <v>1596701.06</v>
      </c>
      <c r="S787" s="62">
        <v>4999692.26</v>
      </c>
      <c r="T787" s="63"/>
      <c r="U787" s="63">
        <v>3202.75457526837</v>
      </c>
      <c r="V787" s="63">
        <v>3202.75457526837</v>
      </c>
      <c r="W787" s="59">
        <v>2024</v>
      </c>
      <c r="X787" s="6"/>
      <c r="Z787" s="62"/>
      <c r="AA787" s="55"/>
      <c r="AB787" s="55"/>
      <c r="AC787" s="55"/>
      <c r="AD787" s="55"/>
      <c r="AE787" s="55"/>
      <c r="AF787" s="55"/>
      <c r="AG787" s="55"/>
      <c r="AH787" s="55"/>
      <c r="AI787" s="55"/>
      <c r="AJ787" s="55"/>
      <c r="AK787" s="55"/>
      <c r="AL787" s="55"/>
      <c r="AM787" s="55"/>
      <c r="AN787" s="63"/>
      <c r="AO787" s="64"/>
      <c r="AP787" s="61">
        <f>+N787-'Приложение №2'!E787</f>
        <v>-3.222745843231678E-3</v>
      </c>
      <c r="AQ787" s="73">
        <v>1381175.06</v>
      </c>
      <c r="AR787" s="3">
        <f>+(K787*10+L787*20)*12*0.85</f>
        <v>215526</v>
      </c>
      <c r="AS787" s="3">
        <f>+(K787*13.29+L787*22.52)*12*30</f>
        <v>10031387.759999998</v>
      </c>
      <c r="AT787" s="6">
        <f t="shared" si="200"/>
        <v>-5031695.4999999981</v>
      </c>
      <c r="AU787" s="6"/>
      <c r="AV787" s="6"/>
      <c r="AW787" s="62">
        <f t="shared" si="197"/>
        <v>6596393.3232227461</v>
      </c>
      <c r="AX787" s="55"/>
      <c r="AY787" s="55"/>
      <c r="AZ787" s="55"/>
      <c r="BA787" s="55"/>
      <c r="BB787" s="55"/>
      <c r="BC787" s="55"/>
      <c r="BD787" s="55"/>
      <c r="BE787" s="55"/>
      <c r="BF787" s="55"/>
      <c r="BG787" s="55"/>
      <c r="BH787" s="55"/>
      <c r="BI787" s="55">
        <v>6308293.30644779</v>
      </c>
      <c r="BJ787" s="55"/>
      <c r="BK787" s="63"/>
      <c r="BL787" s="64">
        <v>288100.01677495602</v>
      </c>
      <c r="BM787" s="62">
        <f t="shared" si="198"/>
        <v>6596393.3232227461</v>
      </c>
      <c r="BN787" s="55"/>
      <c r="BO787" s="55"/>
      <c r="BP787" s="55"/>
      <c r="BQ787" s="55"/>
      <c r="BR787" s="55"/>
      <c r="BS787" s="55"/>
      <c r="BT787" s="55"/>
      <c r="BU787" s="55"/>
      <c r="BV787" s="55"/>
      <c r="BW787" s="55"/>
      <c r="BX787" s="55"/>
      <c r="BY787" s="55">
        <v>6308293.30644779</v>
      </c>
      <c r="BZ787" s="55"/>
      <c r="CA787" s="63"/>
      <c r="CB787" s="64">
        <v>288100.01677495602</v>
      </c>
      <c r="CD787" s="75"/>
      <c r="CE787" s="6"/>
    </row>
    <row r="788" spans="1:83" x14ac:dyDescent="0.25">
      <c r="A788" s="105">
        <f t="shared" si="199"/>
        <v>766</v>
      </c>
      <c r="B788" s="106">
        <f t="shared" si="193"/>
        <v>306</v>
      </c>
      <c r="C788" s="107" t="s">
        <v>224</v>
      </c>
      <c r="D788" s="107" t="s">
        <v>418</v>
      </c>
      <c r="E788" s="54">
        <v>1986</v>
      </c>
      <c r="F788" s="54">
        <v>2015</v>
      </c>
      <c r="G788" s="54" t="s">
        <v>64</v>
      </c>
      <c r="H788" s="54">
        <v>9</v>
      </c>
      <c r="I788" s="54">
        <v>1</v>
      </c>
      <c r="J788" s="55">
        <v>2147.3000000000002</v>
      </c>
      <c r="K788" s="55">
        <v>1765</v>
      </c>
      <c r="L788" s="55">
        <v>118.1</v>
      </c>
      <c r="M788" s="56">
        <v>71</v>
      </c>
      <c r="N788" s="108">
        <v>12371389.34</v>
      </c>
      <c r="O788" s="63"/>
      <c r="P788" s="63"/>
      <c r="Q788" s="63"/>
      <c r="R788" s="62">
        <v>229088.29</v>
      </c>
      <c r="S788" s="62">
        <v>3490952.36</v>
      </c>
      <c r="T788" s="62">
        <v>8651348.6899999995</v>
      </c>
      <c r="U788" s="55">
        <v>10650.4915964548</v>
      </c>
      <c r="V788" s="55">
        <v>10650.4915964548</v>
      </c>
      <c r="W788" s="59">
        <v>2024</v>
      </c>
      <c r="X788" s="6" t="e">
        <v>#REF!</v>
      </c>
      <c r="Z788" s="62">
        <f t="shared" ref="Z788:Z802" si="204">SUM(AA788:AO788)</f>
        <v>20557934.949999999</v>
      </c>
      <c r="AA788" s="55">
        <v>4354337.0884977598</v>
      </c>
      <c r="AB788" s="55">
        <v>2988403.2292165798</v>
      </c>
      <c r="AC788" s="55">
        <v>1819095.0789144</v>
      </c>
      <c r="AD788" s="55">
        <v>1641252.41830956</v>
      </c>
      <c r="AE788" s="55">
        <v>0</v>
      </c>
      <c r="AF788" s="55"/>
      <c r="AG788" s="55">
        <v>209478.56798399999</v>
      </c>
      <c r="AH788" s="55">
        <v>0</v>
      </c>
      <c r="AI788" s="55">
        <v>2124154.6930044</v>
      </c>
      <c r="AJ788" s="55">
        <v>0</v>
      </c>
      <c r="AK788" s="55">
        <v>0</v>
      </c>
      <c r="AL788" s="55">
        <v>4849580.8718931004</v>
      </c>
      <c r="AM788" s="55">
        <v>1972729.6575</v>
      </c>
      <c r="AN788" s="63">
        <v>205579.34950000001</v>
      </c>
      <c r="AO788" s="64">
        <v>393323.99518020003</v>
      </c>
      <c r="AP788" s="61">
        <f>+N788-'Приложение №2'!E789</f>
        <v>-846627.96228399873</v>
      </c>
      <c r="AQ788" s="1">
        <v>1032655.91</v>
      </c>
      <c r="AR788" s="3">
        <f>+(K788*13.29+L788*22.52)*12*0.85</f>
        <v>266387.91239999997</v>
      </c>
      <c r="AS788" s="3">
        <f>+(K788*13.29+L788*22.52)*12*30</f>
        <v>9401926.3200000003</v>
      </c>
      <c r="AT788" s="6">
        <f t="shared" ref="AT788:AT819" si="205">+S788-AS788</f>
        <v>-5910973.9600000009</v>
      </c>
      <c r="AU788" s="6" t="e">
        <v>#REF!</v>
      </c>
      <c r="AV788" s="6" t="e">
        <v>#REF!</v>
      </c>
      <c r="AW788" s="62">
        <f t="shared" si="197"/>
        <v>20055940.725283999</v>
      </c>
      <c r="AX788" s="55">
        <v>4698966.264804</v>
      </c>
      <c r="AY788" s="55">
        <v>3271249.5477900002</v>
      </c>
      <c r="AZ788" s="55">
        <v>1989640.022412</v>
      </c>
      <c r="BA788" s="55">
        <v>1832647.696614</v>
      </c>
      <c r="BB788" s="55">
        <v>0</v>
      </c>
      <c r="BC788" s="55"/>
      <c r="BD788" s="55">
        <v>209478.56798399999</v>
      </c>
      <c r="BE788" s="55">
        <v>0</v>
      </c>
      <c r="BF788" s="55">
        <v>2326355.17</v>
      </c>
      <c r="BG788" s="55">
        <v>0</v>
      </c>
      <c r="BH788" s="55">
        <v>0</v>
      </c>
      <c r="BI788" s="55">
        <v>5299064.2766880002</v>
      </c>
      <c r="BJ788" s="55"/>
      <c r="BK788" s="63"/>
      <c r="BL788" s="111">
        <v>428539.178992</v>
      </c>
      <c r="BM788" s="62">
        <f t="shared" si="198"/>
        <v>17486564.368595999</v>
      </c>
      <c r="BN788" s="55">
        <v>4698966.264804</v>
      </c>
      <c r="BO788" s="55">
        <v>3271249.5477900002</v>
      </c>
      <c r="BP788" s="55">
        <v>1989640.022412</v>
      </c>
      <c r="BQ788" s="55">
        <v>1832647.696614</v>
      </c>
      <c r="BR788" s="55">
        <v>0</v>
      </c>
      <c r="BS788" s="55"/>
      <c r="BT788" s="55">
        <v>209478.56798399999</v>
      </c>
      <c r="BU788" s="55">
        <v>0</v>
      </c>
      <c r="BV788" s="55">
        <v>2326355.17</v>
      </c>
      <c r="BW788" s="55">
        <v>0</v>
      </c>
      <c r="BX788" s="55">
        <v>0</v>
      </c>
      <c r="BY788" s="55">
        <v>2729687.92</v>
      </c>
      <c r="BZ788" s="55"/>
      <c r="CA788" s="63"/>
      <c r="CB788" s="64">
        <v>428539.178992</v>
      </c>
      <c r="CD788" s="75"/>
      <c r="CE788" s="6"/>
    </row>
    <row r="789" spans="1:83" x14ac:dyDescent="0.25">
      <c r="A789" s="105">
        <f t="shared" si="199"/>
        <v>767</v>
      </c>
      <c r="B789" s="106">
        <f t="shared" si="193"/>
        <v>307</v>
      </c>
      <c r="C789" s="107" t="s">
        <v>224</v>
      </c>
      <c r="D789" s="107" t="s">
        <v>716</v>
      </c>
      <c r="E789" s="128">
        <v>1968</v>
      </c>
      <c r="F789" s="128">
        <v>2013</v>
      </c>
      <c r="G789" s="128" t="s">
        <v>64</v>
      </c>
      <c r="H789" s="128">
        <v>4</v>
      </c>
      <c r="I789" s="128">
        <v>2</v>
      </c>
      <c r="J789" s="63">
        <v>1377</v>
      </c>
      <c r="K789" s="63">
        <v>1273</v>
      </c>
      <c r="L789" s="63">
        <v>0</v>
      </c>
      <c r="M789" s="129">
        <v>50</v>
      </c>
      <c r="N789" s="108">
        <v>13218017.300000001</v>
      </c>
      <c r="O789" s="63"/>
      <c r="P789" s="62">
        <v>1051075.21</v>
      </c>
      <c r="Q789" s="63"/>
      <c r="R789" s="62">
        <v>136338.29999999999</v>
      </c>
      <c r="S789" s="62">
        <v>4811940</v>
      </c>
      <c r="T789" s="62">
        <v>7218663.79</v>
      </c>
      <c r="U789" s="63">
        <v>10383.3600175051</v>
      </c>
      <c r="V789" s="63">
        <v>1401.2830200640001</v>
      </c>
      <c r="W789" s="59">
        <v>2024</v>
      </c>
      <c r="X789" s="6" t="e">
        <v>#REF!</v>
      </c>
      <c r="Z789" s="62">
        <f t="shared" si="204"/>
        <v>16166826.229999997</v>
      </c>
      <c r="AA789" s="55">
        <v>3641709.0809080801</v>
      </c>
      <c r="AB789" s="55">
        <v>1335424.4489922</v>
      </c>
      <c r="AC789" s="55">
        <v>1395205.1725445399</v>
      </c>
      <c r="AD789" s="55">
        <v>873503.12617344002</v>
      </c>
      <c r="AE789" s="55">
        <v>0</v>
      </c>
      <c r="AF789" s="55"/>
      <c r="AG789" s="55">
        <v>120223.04998955999</v>
      </c>
      <c r="AH789" s="55">
        <v>0</v>
      </c>
      <c r="AI789" s="55">
        <v>6851229.2787581999</v>
      </c>
      <c r="AJ789" s="55">
        <v>0</v>
      </c>
      <c r="AK789" s="55">
        <v>0</v>
      </c>
      <c r="AL789" s="55">
        <v>0</v>
      </c>
      <c r="AM789" s="55">
        <v>1476960.382</v>
      </c>
      <c r="AN789" s="63">
        <v>161668.2623</v>
      </c>
      <c r="AO789" s="64">
        <v>310903.42833397997</v>
      </c>
      <c r="AP789" s="61">
        <f>+N789-'Приложение №2'!E789</f>
        <v>-2.2839978337287903E-3</v>
      </c>
      <c r="AQ789" s="6">
        <f>705454.35</f>
        <v>705454.35</v>
      </c>
      <c r="AR789" s="3">
        <f>+(K789*10.5+L789*21)*12*0.85</f>
        <v>136338.29999999999</v>
      </c>
      <c r="AS789" s="3">
        <f>+(K789*10.5+L789*21)*12*30</f>
        <v>4811940</v>
      </c>
      <c r="AT789" s="6">
        <f t="shared" si="205"/>
        <v>0</v>
      </c>
      <c r="AU789" s="6" t="e">
        <v>#REF!</v>
      </c>
      <c r="AV789" s="6" t="e">
        <v>#REF!</v>
      </c>
      <c r="AW789" s="110">
        <f t="shared" si="197"/>
        <v>13218017.302283999</v>
      </c>
      <c r="AX789" s="55">
        <v>3950676.9662219998</v>
      </c>
      <c r="AY789" s="55"/>
      <c r="AZ789" s="55">
        <v>1538875.675722</v>
      </c>
      <c r="BA789" s="55"/>
      <c r="BB789" s="55">
        <v>0</v>
      </c>
      <c r="BC789" s="55"/>
      <c r="BD789" s="55">
        <v>120223.04998955999</v>
      </c>
      <c r="BE789" s="55">
        <v>0</v>
      </c>
      <c r="BF789" s="55">
        <v>7521830.6773680001</v>
      </c>
      <c r="BG789" s="55">
        <v>0</v>
      </c>
      <c r="BH789" s="55">
        <v>0</v>
      </c>
      <c r="BI789" s="55">
        <v>0</v>
      </c>
      <c r="BJ789" s="55"/>
      <c r="BK789" s="63"/>
      <c r="BL789" s="64">
        <v>86410.932982440005</v>
      </c>
      <c r="BM789" s="110">
        <f t="shared" si="198"/>
        <v>13218017.302283999</v>
      </c>
      <c r="BN789" s="55">
        <v>3950676.9662219998</v>
      </c>
      <c r="BO789" s="55"/>
      <c r="BP789" s="55">
        <v>1538875.675722</v>
      </c>
      <c r="BQ789" s="55"/>
      <c r="BR789" s="55">
        <v>0</v>
      </c>
      <c r="BS789" s="55"/>
      <c r="BT789" s="55">
        <v>120223.04998955999</v>
      </c>
      <c r="BU789" s="55">
        <v>0</v>
      </c>
      <c r="BV789" s="55">
        <v>7521830.6773680001</v>
      </c>
      <c r="BW789" s="55">
        <v>0</v>
      </c>
      <c r="BX789" s="55">
        <v>0</v>
      </c>
      <c r="BY789" s="55">
        <v>0</v>
      </c>
      <c r="BZ789" s="55"/>
      <c r="CA789" s="63"/>
      <c r="CB789" s="64">
        <v>86410.932982440005</v>
      </c>
      <c r="CD789" s="75"/>
      <c r="CE789" s="6"/>
    </row>
    <row r="790" spans="1:83" x14ac:dyDescent="0.25">
      <c r="A790" s="105">
        <f t="shared" si="199"/>
        <v>768</v>
      </c>
      <c r="B790" s="106">
        <f t="shared" si="193"/>
        <v>308</v>
      </c>
      <c r="C790" s="107" t="s">
        <v>224</v>
      </c>
      <c r="D790" s="107" t="s">
        <v>717</v>
      </c>
      <c r="E790" s="128">
        <v>1985</v>
      </c>
      <c r="F790" s="128">
        <v>2015</v>
      </c>
      <c r="G790" s="128" t="s">
        <v>64</v>
      </c>
      <c r="H790" s="128">
        <v>9</v>
      </c>
      <c r="I790" s="128">
        <v>1</v>
      </c>
      <c r="J790" s="63">
        <v>2289.1999999999998</v>
      </c>
      <c r="K790" s="63">
        <v>1890</v>
      </c>
      <c r="L790" s="63">
        <v>116.7</v>
      </c>
      <c r="M790" s="129">
        <v>81</v>
      </c>
      <c r="N790" s="108">
        <v>21345856.609999999</v>
      </c>
      <c r="O790" s="63"/>
      <c r="P790" s="62">
        <v>3171737.67</v>
      </c>
      <c r="Q790" s="63"/>
      <c r="R790" s="62">
        <v>1581149.04</v>
      </c>
      <c r="S790" s="62">
        <v>9988626.2400000002</v>
      </c>
      <c r="T790" s="62">
        <v>6604343.6600000001</v>
      </c>
      <c r="U790" s="63">
        <v>10637.2933701032</v>
      </c>
      <c r="V790" s="63">
        <v>10637.2933701032</v>
      </c>
      <c r="W790" s="59">
        <v>2024</v>
      </c>
      <c r="X790" s="6" t="e">
        <v>#REF!</v>
      </c>
      <c r="Z790" s="62">
        <f t="shared" si="204"/>
        <v>21892071.77</v>
      </c>
      <c r="AA790" s="55">
        <v>4636918.0685864398</v>
      </c>
      <c r="AB790" s="55">
        <v>3182339.9673420601</v>
      </c>
      <c r="AC790" s="55">
        <v>1937147.8769193599</v>
      </c>
      <c r="AD790" s="55">
        <v>1747763.85706608</v>
      </c>
      <c r="AE790" s="55">
        <v>0</v>
      </c>
      <c r="AF790" s="55"/>
      <c r="AG790" s="55">
        <v>223072.98168960001</v>
      </c>
      <c r="AH790" s="55">
        <v>0</v>
      </c>
      <c r="AI790" s="55">
        <v>2262004.7709924001</v>
      </c>
      <c r="AJ790" s="55">
        <v>0</v>
      </c>
      <c r="AK790" s="55">
        <v>0</v>
      </c>
      <c r="AL790" s="55">
        <v>5164301.4149336396</v>
      </c>
      <c r="AM790" s="55">
        <v>2100752.7919999999</v>
      </c>
      <c r="AN790" s="63">
        <v>218920.71770000001</v>
      </c>
      <c r="AO790" s="64">
        <v>418849.32277042</v>
      </c>
      <c r="AP790" s="61">
        <f>+N790-'Приложение №2'!E790</f>
        <v>4.2139999568462372E-3</v>
      </c>
      <c r="AQ790" s="1">
        <v>1298137.96</v>
      </c>
      <c r="AR790" s="3">
        <f>+(K790*13.29+L790*22.52)*12*0.85</f>
        <v>283011.07679999998</v>
      </c>
      <c r="AS790" s="3">
        <f>+(K790*13.29+L790*22.52)*12*30</f>
        <v>9988626.2400000002</v>
      </c>
      <c r="AT790" s="6">
        <f t="shared" si="205"/>
        <v>0</v>
      </c>
      <c r="AU790" s="6" t="e">
        <v>#REF!</v>
      </c>
      <c r="AV790" s="6" t="e">
        <v>#REF!</v>
      </c>
      <c r="AW790" s="62">
        <f t="shared" si="197"/>
        <v>21345856.605785999</v>
      </c>
      <c r="AX790" s="55">
        <v>5008921.6874759998</v>
      </c>
      <c r="AY790" s="55">
        <v>3483953.1116459998</v>
      </c>
      <c r="AZ790" s="55">
        <v>2121517.0782960001</v>
      </c>
      <c r="BA790" s="55">
        <v>1954219.3801200001</v>
      </c>
      <c r="BB790" s="55">
        <v>0</v>
      </c>
      <c r="BC790" s="55"/>
      <c r="BD790" s="55">
        <v>223072.98168960001</v>
      </c>
      <c r="BE790" s="55">
        <v>0</v>
      </c>
      <c r="BF790" s="55">
        <v>2447118.710064</v>
      </c>
      <c r="BG790" s="55">
        <v>0</v>
      </c>
      <c r="BH790" s="55">
        <v>0</v>
      </c>
      <c r="BI790" s="55">
        <v>5650252.32534</v>
      </c>
      <c r="BJ790" s="55"/>
      <c r="BK790" s="63"/>
      <c r="BL790" s="64">
        <v>456801.33115440002</v>
      </c>
      <c r="BM790" s="62">
        <f t="shared" si="198"/>
        <v>21345856.605785999</v>
      </c>
      <c r="BN790" s="55">
        <v>5008921.6874759998</v>
      </c>
      <c r="BO790" s="55">
        <v>3483953.1116459998</v>
      </c>
      <c r="BP790" s="55">
        <v>2121517.0782960001</v>
      </c>
      <c r="BQ790" s="55">
        <v>1954219.3801200001</v>
      </c>
      <c r="BR790" s="55">
        <v>0</v>
      </c>
      <c r="BS790" s="55"/>
      <c r="BT790" s="55">
        <v>223072.98168960001</v>
      </c>
      <c r="BU790" s="55">
        <v>0</v>
      </c>
      <c r="BV790" s="55">
        <v>2447118.710064</v>
      </c>
      <c r="BW790" s="55">
        <v>0</v>
      </c>
      <c r="BX790" s="55">
        <v>0</v>
      </c>
      <c r="BY790" s="55">
        <v>5650252.32534</v>
      </c>
      <c r="BZ790" s="55"/>
      <c r="CA790" s="63"/>
      <c r="CB790" s="64">
        <v>456801.33115440002</v>
      </c>
      <c r="CD790" s="75"/>
      <c r="CE790" s="6"/>
    </row>
    <row r="791" spans="1:83" x14ac:dyDescent="0.25">
      <c r="A791" s="105">
        <f t="shared" si="199"/>
        <v>769</v>
      </c>
      <c r="B791" s="106">
        <f t="shared" si="193"/>
        <v>309</v>
      </c>
      <c r="C791" s="107" t="s">
        <v>224</v>
      </c>
      <c r="D791" s="107" t="s">
        <v>718</v>
      </c>
      <c r="E791" s="128">
        <v>1976</v>
      </c>
      <c r="F791" s="128">
        <v>2013</v>
      </c>
      <c r="G791" s="128" t="s">
        <v>64</v>
      </c>
      <c r="H791" s="128">
        <v>4</v>
      </c>
      <c r="I791" s="128">
        <v>6</v>
      </c>
      <c r="J791" s="63">
        <v>4690.7</v>
      </c>
      <c r="K791" s="63">
        <v>4312.1000000000004</v>
      </c>
      <c r="L791" s="63">
        <v>202.5</v>
      </c>
      <c r="M791" s="129">
        <v>191</v>
      </c>
      <c r="N791" s="108">
        <v>12608792.02</v>
      </c>
      <c r="O791" s="63"/>
      <c r="P791" s="63"/>
      <c r="Q791" s="63"/>
      <c r="R791" s="62">
        <v>2366806.17</v>
      </c>
      <c r="S791" s="62">
        <v>10241985.85</v>
      </c>
      <c r="T791" s="63"/>
      <c r="U791" s="63">
        <v>2792.8923986842701</v>
      </c>
      <c r="V791" s="63">
        <v>2792.8923986842701</v>
      </c>
      <c r="W791" s="59">
        <v>2024</v>
      </c>
      <c r="X791" s="6" t="e">
        <v>#REF!</v>
      </c>
      <c r="Z791" s="62">
        <f t="shared" si="204"/>
        <v>46137074.220000125</v>
      </c>
      <c r="AA791" s="55">
        <v>12338963.8738057</v>
      </c>
      <c r="AB791" s="55">
        <v>0</v>
      </c>
      <c r="AC791" s="55">
        <v>0</v>
      </c>
      <c r="AD791" s="55">
        <v>2959633.3144828798</v>
      </c>
      <c r="AE791" s="55">
        <v>0</v>
      </c>
      <c r="AF791" s="55"/>
      <c r="AG791" s="55">
        <v>0</v>
      </c>
      <c r="AH791" s="55">
        <v>0</v>
      </c>
      <c r="AI791" s="55">
        <v>0</v>
      </c>
      <c r="AJ791" s="55">
        <v>0</v>
      </c>
      <c r="AK791" s="55">
        <v>12052636.3018921</v>
      </c>
      <c r="AL791" s="55">
        <v>12999978.8466316</v>
      </c>
      <c r="AM791" s="55">
        <v>4442091.8521999996</v>
      </c>
      <c r="AN791" s="63">
        <v>461370.74219999998</v>
      </c>
      <c r="AO791" s="64">
        <v>882399.28878784005</v>
      </c>
      <c r="AP791" s="61">
        <f>+N791-'Приложение №2'!E791</f>
        <v>-3.1000394374132156E-3</v>
      </c>
      <c r="AQ791" s="1">
        <v>1885661.97</v>
      </c>
      <c r="AR791" s="3">
        <f>+(K791*10+L791*20)*12*0.85</f>
        <v>481144.2</v>
      </c>
      <c r="AS791" s="3">
        <f>+(K791*10+L791*20)*12*30</f>
        <v>16981560</v>
      </c>
      <c r="AT791" s="6">
        <f t="shared" si="205"/>
        <v>-6739574.1500000004</v>
      </c>
      <c r="AU791" s="6" t="e">
        <v>#REF!</v>
      </c>
      <c r="AV791" s="6" t="e">
        <v>#REF!</v>
      </c>
      <c r="AW791" s="62">
        <f t="shared" si="197"/>
        <v>12608792.023100039</v>
      </c>
      <c r="AX791" s="55">
        <v>12338963.8738057</v>
      </c>
      <c r="AY791" s="55">
        <v>0</v>
      </c>
      <c r="AZ791" s="55">
        <v>0</v>
      </c>
      <c r="BA791" s="55"/>
      <c r="BB791" s="55">
        <v>0</v>
      </c>
      <c r="BC791" s="55"/>
      <c r="BD791" s="55"/>
      <c r="BE791" s="55">
        <v>0</v>
      </c>
      <c r="BF791" s="55">
        <v>0</v>
      </c>
      <c r="BG791" s="55">
        <v>0</v>
      </c>
      <c r="BH791" s="55"/>
      <c r="BI791" s="55"/>
      <c r="BJ791" s="55"/>
      <c r="BK791" s="63"/>
      <c r="BL791" s="64">
        <v>269828.14929433999</v>
      </c>
      <c r="BM791" s="62">
        <f t="shared" si="198"/>
        <v>12608792.023100039</v>
      </c>
      <c r="BN791" s="55">
        <v>12338963.8738057</v>
      </c>
      <c r="BO791" s="55">
        <v>0</v>
      </c>
      <c r="BP791" s="55">
        <v>0</v>
      </c>
      <c r="BQ791" s="55"/>
      <c r="BR791" s="55">
        <v>0</v>
      </c>
      <c r="BS791" s="55"/>
      <c r="BT791" s="55"/>
      <c r="BU791" s="55">
        <v>0</v>
      </c>
      <c r="BV791" s="55">
        <v>0</v>
      </c>
      <c r="BW791" s="55">
        <v>0</v>
      </c>
      <c r="BX791" s="55"/>
      <c r="BY791" s="55"/>
      <c r="BZ791" s="55"/>
      <c r="CA791" s="63"/>
      <c r="CB791" s="64">
        <v>269828.14929433999</v>
      </c>
      <c r="CD791" s="75"/>
      <c r="CE791" s="6"/>
    </row>
    <row r="792" spans="1:83" x14ac:dyDescent="0.25">
      <c r="A792" s="105">
        <f t="shared" si="199"/>
        <v>770</v>
      </c>
      <c r="B792" s="106">
        <f t="shared" si="193"/>
        <v>310</v>
      </c>
      <c r="C792" s="107" t="s">
        <v>224</v>
      </c>
      <c r="D792" s="107" t="s">
        <v>719</v>
      </c>
      <c r="E792" s="128">
        <v>1992</v>
      </c>
      <c r="F792" s="128">
        <v>2016</v>
      </c>
      <c r="G792" s="128" t="s">
        <v>64</v>
      </c>
      <c r="H792" s="128">
        <v>9</v>
      </c>
      <c r="I792" s="128">
        <v>3</v>
      </c>
      <c r="J792" s="63">
        <v>6894.8</v>
      </c>
      <c r="K792" s="63">
        <v>6109.5</v>
      </c>
      <c r="L792" s="63">
        <v>0</v>
      </c>
      <c r="M792" s="129">
        <v>249</v>
      </c>
      <c r="N792" s="108">
        <v>56780957.07</v>
      </c>
      <c r="O792" s="63"/>
      <c r="P792" s="62">
        <v>504658.56</v>
      </c>
      <c r="Q792" s="63"/>
      <c r="R792" s="62">
        <v>5081930.53</v>
      </c>
      <c r="S792" s="62">
        <v>30681909</v>
      </c>
      <c r="T792" s="62">
        <v>20512458.98</v>
      </c>
      <c r="U792" s="63">
        <v>8727.6374256653107</v>
      </c>
      <c r="V792" s="63">
        <v>1404.2830200640001</v>
      </c>
      <c r="W792" s="59">
        <v>2024</v>
      </c>
      <c r="X792" s="6" t="e">
        <v>#REF!</v>
      </c>
      <c r="Z792" s="62">
        <f t="shared" si="204"/>
        <v>57606078.689999998</v>
      </c>
      <c r="AA792" s="55">
        <v>13823112.4839116</v>
      </c>
      <c r="AB792" s="55">
        <v>9486870.9391226396</v>
      </c>
      <c r="AC792" s="55">
        <v>5774829.8742573597</v>
      </c>
      <c r="AD792" s="55">
        <v>5210257.3459977601</v>
      </c>
      <c r="AE792" s="55">
        <v>0</v>
      </c>
      <c r="AF792" s="55"/>
      <c r="AG792" s="55">
        <v>665002.67436960002</v>
      </c>
      <c r="AH792" s="55">
        <v>0</v>
      </c>
      <c r="AI792" s="55">
        <v>0</v>
      </c>
      <c r="AJ792" s="55">
        <v>0</v>
      </c>
      <c r="AK792" s="55">
        <v>0</v>
      </c>
      <c r="AL792" s="55">
        <v>15395294.522631699</v>
      </c>
      <c r="AM792" s="55">
        <v>5573480.1550000003</v>
      </c>
      <c r="AN792" s="63">
        <v>576060.78689999995</v>
      </c>
      <c r="AO792" s="64">
        <v>1101169.9078093399</v>
      </c>
      <c r="AP792" s="61">
        <f>+N792-'Приложение №2'!E792</f>
        <v>1.2777596712112427E-3</v>
      </c>
      <c r="AQ792" s="65">
        <v>4212609.7699999996</v>
      </c>
      <c r="AR792" s="3">
        <f>+(K792*13.95+L792*23.65)*12*0.85</f>
        <v>869320.75499999989</v>
      </c>
      <c r="AS792" s="3">
        <f>+(K792*13.95+L792*23.65)*12*30</f>
        <v>30681908.999999996</v>
      </c>
      <c r="AT792" s="6">
        <f t="shared" si="205"/>
        <v>0</v>
      </c>
      <c r="AU792" s="6" t="e">
        <v>#REF!</v>
      </c>
      <c r="AV792" s="6" t="e">
        <v>#REF!</v>
      </c>
      <c r="AW792" s="110">
        <f t="shared" si="197"/>
        <v>53321500.852102242</v>
      </c>
      <c r="AX792" s="55">
        <v>13823112.4839116</v>
      </c>
      <c r="AY792" s="55">
        <v>9486870.9391226396</v>
      </c>
      <c r="AZ792" s="55">
        <v>5774829.8742573597</v>
      </c>
      <c r="BA792" s="55">
        <v>7075220.4500000002</v>
      </c>
      <c r="BB792" s="55">
        <v>0</v>
      </c>
      <c r="BC792" s="55"/>
      <c r="BD792" s="55">
        <v>665002.67436960002</v>
      </c>
      <c r="BE792" s="55">
        <v>0</v>
      </c>
      <c r="BF792" s="55">
        <v>0</v>
      </c>
      <c r="BG792" s="55">
        <v>0</v>
      </c>
      <c r="BH792" s="55">
        <v>0</v>
      </c>
      <c r="BI792" s="55">
        <v>15395294.522631699</v>
      </c>
      <c r="BJ792" s="55"/>
      <c r="BK792" s="63"/>
      <c r="BL792" s="64">
        <v>1101169.9078093399</v>
      </c>
      <c r="BM792" s="110">
        <f t="shared" si="198"/>
        <v>53321500.852102242</v>
      </c>
      <c r="BN792" s="55">
        <v>13823112.4839116</v>
      </c>
      <c r="BO792" s="55">
        <v>9486870.9391226396</v>
      </c>
      <c r="BP792" s="55">
        <v>5774829.8742573597</v>
      </c>
      <c r="BQ792" s="55">
        <v>7075220.4500000002</v>
      </c>
      <c r="BR792" s="55">
        <v>0</v>
      </c>
      <c r="BS792" s="55"/>
      <c r="BT792" s="55">
        <v>665002.67436960002</v>
      </c>
      <c r="BU792" s="55">
        <v>0</v>
      </c>
      <c r="BV792" s="55">
        <v>0</v>
      </c>
      <c r="BW792" s="55">
        <v>0</v>
      </c>
      <c r="BX792" s="55">
        <v>0</v>
      </c>
      <c r="BY792" s="55">
        <v>15395294.522631699</v>
      </c>
      <c r="BZ792" s="55"/>
      <c r="CA792" s="63"/>
      <c r="CB792" s="64">
        <v>1101169.9078093399</v>
      </c>
      <c r="CD792" s="75"/>
      <c r="CE792" s="6"/>
    </row>
    <row r="793" spans="1:83" x14ac:dyDescent="0.25">
      <c r="A793" s="105">
        <f t="shared" si="199"/>
        <v>771</v>
      </c>
      <c r="B793" s="106">
        <f t="shared" si="193"/>
        <v>311</v>
      </c>
      <c r="C793" s="53" t="s">
        <v>224</v>
      </c>
      <c r="D793" s="53" t="s">
        <v>720</v>
      </c>
      <c r="E793" s="54">
        <v>1990</v>
      </c>
      <c r="F793" s="54">
        <v>2015</v>
      </c>
      <c r="G793" s="54" t="s">
        <v>64</v>
      </c>
      <c r="H793" s="54">
        <v>9</v>
      </c>
      <c r="I793" s="54">
        <v>4</v>
      </c>
      <c r="J793" s="55">
        <v>9225.6</v>
      </c>
      <c r="K793" s="55">
        <v>8138.5</v>
      </c>
      <c r="L793" s="55">
        <v>48</v>
      </c>
      <c r="M793" s="56">
        <v>380</v>
      </c>
      <c r="N793" s="112">
        <v>25200863.73</v>
      </c>
      <c r="O793" s="55"/>
      <c r="P793" s="63"/>
      <c r="Q793" s="63"/>
      <c r="R793" s="62">
        <v>5532618.5899999999</v>
      </c>
      <c r="S793" s="62">
        <v>19668245.140000001</v>
      </c>
      <c r="T793" s="63"/>
      <c r="U793" s="55">
        <v>3078.3440692752201</v>
      </c>
      <c r="V793" s="55">
        <v>3078.3440692752201</v>
      </c>
      <c r="W793" s="59">
        <v>2024</v>
      </c>
      <c r="X793" s="6" t="e">
        <v>#REF!</v>
      </c>
      <c r="Z793" s="62">
        <f t="shared" si="204"/>
        <v>88860936.86999993</v>
      </c>
      <c r="AA793" s="55">
        <v>18821465.971318901</v>
      </c>
      <c r="AB793" s="55">
        <v>12917265.834582901</v>
      </c>
      <c r="AC793" s="55">
        <v>7862973.2694105599</v>
      </c>
      <c r="AD793" s="55">
        <v>7094254.7407149598</v>
      </c>
      <c r="AE793" s="55">
        <v>0</v>
      </c>
      <c r="AF793" s="55"/>
      <c r="AG793" s="55">
        <v>905463.60092160001</v>
      </c>
      <c r="AH793" s="55">
        <v>0</v>
      </c>
      <c r="AI793" s="55">
        <v>9181582.5123036001</v>
      </c>
      <c r="AJ793" s="55">
        <v>0</v>
      </c>
      <c r="AK793" s="55">
        <v>0</v>
      </c>
      <c r="AL793" s="55">
        <v>20962139.475577399</v>
      </c>
      <c r="AM793" s="55">
        <v>8527053.227</v>
      </c>
      <c r="AN793" s="63">
        <v>888609.36869999999</v>
      </c>
      <c r="AO793" s="64">
        <v>1700128.8694700201</v>
      </c>
      <c r="AP793" s="61">
        <f>+N793-'Приложение №2'!E793</f>
        <v>6.8784207105636597E-3</v>
      </c>
      <c r="AQ793" s="6">
        <f>4418354.01</f>
        <v>4418354.01</v>
      </c>
      <c r="AR793" s="3">
        <f>+(K793*13.29+L793*22.52)*12*0.85</f>
        <v>1114264.575</v>
      </c>
      <c r="AS793" s="3">
        <f>+(K793*13.29+L793*22.52)*12*30</f>
        <v>39326985</v>
      </c>
      <c r="AT793" s="6">
        <f t="shared" si="205"/>
        <v>-19658739.859999999</v>
      </c>
      <c r="AU793" s="6" t="e">
        <v>#REF!</v>
      </c>
      <c r="AV793" s="6" t="e">
        <v>#REF!</v>
      </c>
      <c r="AW793" s="62">
        <f t="shared" si="197"/>
        <v>25200863.72312158</v>
      </c>
      <c r="AX793" s="55">
        <v>18821465.971318901</v>
      </c>
      <c r="AY793" s="55">
        <v>5062346.8099999996</v>
      </c>
      <c r="AZ793" s="55"/>
      <c r="BA793" s="55"/>
      <c r="BB793" s="55"/>
      <c r="BC793" s="55"/>
      <c r="BD793" s="55">
        <v>905463.60092160001</v>
      </c>
      <c r="BE793" s="55">
        <v>0</v>
      </c>
      <c r="BF793" s="55"/>
      <c r="BG793" s="55">
        <v>0</v>
      </c>
      <c r="BH793" s="55">
        <v>0</v>
      </c>
      <c r="BI793" s="55"/>
      <c r="BJ793" s="55"/>
      <c r="BK793" s="63"/>
      <c r="BL793" s="111">
        <v>411587.34088108002</v>
      </c>
      <c r="BM793" s="62">
        <f t="shared" si="198"/>
        <v>25200863.72312158</v>
      </c>
      <c r="BN793" s="55">
        <v>18821465.971318901</v>
      </c>
      <c r="BO793" s="55">
        <v>5062346.8099999996</v>
      </c>
      <c r="BP793" s="55"/>
      <c r="BQ793" s="55"/>
      <c r="BR793" s="55"/>
      <c r="BS793" s="55"/>
      <c r="BT793" s="55">
        <v>905463.60092160001</v>
      </c>
      <c r="BU793" s="55">
        <v>0</v>
      </c>
      <c r="BV793" s="55"/>
      <c r="BW793" s="55">
        <v>0</v>
      </c>
      <c r="BX793" s="55">
        <v>0</v>
      </c>
      <c r="BY793" s="55"/>
      <c r="BZ793" s="55"/>
      <c r="CA793" s="63"/>
      <c r="CB793" s="64">
        <v>411587.34088108002</v>
      </c>
      <c r="CD793" s="75"/>
      <c r="CE793" s="6"/>
    </row>
    <row r="794" spans="1:83" x14ac:dyDescent="0.25">
      <c r="A794" s="105">
        <f t="shared" si="199"/>
        <v>772</v>
      </c>
      <c r="B794" s="106">
        <f t="shared" ref="B794:B851" si="206">+B793+1</f>
        <v>312</v>
      </c>
      <c r="C794" s="107" t="s">
        <v>224</v>
      </c>
      <c r="D794" s="107" t="s">
        <v>419</v>
      </c>
      <c r="E794" s="54">
        <v>1991</v>
      </c>
      <c r="F794" s="54">
        <v>2015</v>
      </c>
      <c r="G794" s="54" t="s">
        <v>64</v>
      </c>
      <c r="H794" s="54">
        <v>9</v>
      </c>
      <c r="I794" s="54">
        <v>3</v>
      </c>
      <c r="J794" s="55">
        <v>6893.1</v>
      </c>
      <c r="K794" s="55">
        <v>6102.4</v>
      </c>
      <c r="L794" s="55">
        <v>65.5</v>
      </c>
      <c r="M794" s="56">
        <v>255</v>
      </c>
      <c r="N794" s="108">
        <v>5628828.2599999998</v>
      </c>
      <c r="O794" s="63"/>
      <c r="P794" s="62">
        <v>1170436.98</v>
      </c>
      <c r="Q794" s="63"/>
      <c r="R794" s="62">
        <v>212806.72</v>
      </c>
      <c r="S794" s="63"/>
      <c r="T794" s="62">
        <v>4245584.5599999996</v>
      </c>
      <c r="U794" s="55">
        <v>6681.5848132589499</v>
      </c>
      <c r="V794" s="55">
        <v>6681.5848132589499</v>
      </c>
      <c r="W794" s="59">
        <v>2024</v>
      </c>
      <c r="X794" s="6" t="e">
        <v>#REF!</v>
      </c>
      <c r="Z794" s="62">
        <f t="shared" si="204"/>
        <v>135273087.03</v>
      </c>
      <c r="AA794" s="55">
        <v>14114712.016718</v>
      </c>
      <c r="AB794" s="55">
        <v>9686997.1466872804</v>
      </c>
      <c r="AC794" s="55">
        <v>5896650.3147518402</v>
      </c>
      <c r="AD794" s="55">
        <v>5320168.0919898003</v>
      </c>
      <c r="AE794" s="55">
        <v>0</v>
      </c>
      <c r="AF794" s="55"/>
      <c r="AG794" s="55">
        <v>679030.95234239998</v>
      </c>
      <c r="AH794" s="55">
        <v>0</v>
      </c>
      <c r="AI794" s="55">
        <v>6885510.0487487996</v>
      </c>
      <c r="AJ794" s="55">
        <v>0</v>
      </c>
      <c r="AK794" s="55">
        <v>59777000.180442303</v>
      </c>
      <c r="AL794" s="55">
        <v>15720059.333967701</v>
      </c>
      <c r="AM794" s="55">
        <v>13258054.8255</v>
      </c>
      <c r="AN794" s="63">
        <v>1352730.8703000001</v>
      </c>
      <c r="AO794" s="64">
        <v>2582173.24855188</v>
      </c>
      <c r="AP794" s="61">
        <f>+N794-'Приложение №2'!E795</f>
        <v>288492.75899680052</v>
      </c>
      <c r="AQ794" s="6">
        <f>3490024.25</f>
        <v>3490024.25</v>
      </c>
      <c r="AR794" s="3">
        <f>+(K794*13.29+L794*22.52)*12*0.85</f>
        <v>842274.75119999982</v>
      </c>
      <c r="AS794" s="3">
        <f>+(K794*13.29+L794*22.52)*12*30</f>
        <v>29727344.159999996</v>
      </c>
      <c r="AT794" s="6">
        <f t="shared" si="205"/>
        <v>-29727344.159999996</v>
      </c>
      <c r="AU794" s="6" t="e">
        <v>#REF!</v>
      </c>
      <c r="AV794" s="6" t="e">
        <v>#REF!</v>
      </c>
      <c r="AW794" s="62">
        <f t="shared" si="197"/>
        <v>41211346.969699867</v>
      </c>
      <c r="AX794" s="55">
        <v>14114712.016718</v>
      </c>
      <c r="AY794" s="55">
        <v>5068716.41</v>
      </c>
      <c r="AZ794" s="55"/>
      <c r="BA794" s="55">
        <v>5320168.0919898003</v>
      </c>
      <c r="BB794" s="55"/>
      <c r="BC794" s="55"/>
      <c r="BD794" s="55">
        <v>679030.95234239998</v>
      </c>
      <c r="BE794" s="55">
        <v>0</v>
      </c>
      <c r="BF794" s="55"/>
      <c r="BG794" s="55">
        <v>0</v>
      </c>
      <c r="BH794" s="55"/>
      <c r="BI794" s="55">
        <v>15720059.333967701</v>
      </c>
      <c r="BJ794" s="55"/>
      <c r="BK794" s="63"/>
      <c r="BL794" s="111">
        <v>308660.16468196001</v>
      </c>
      <c r="BM794" s="62">
        <f t="shared" si="198"/>
        <v>41211346.969699867</v>
      </c>
      <c r="BN794" s="55">
        <v>14114712.016718</v>
      </c>
      <c r="BO794" s="55">
        <v>5068716.41</v>
      </c>
      <c r="BP794" s="55"/>
      <c r="BQ794" s="55">
        <v>5320168.0919898003</v>
      </c>
      <c r="BR794" s="55"/>
      <c r="BS794" s="55"/>
      <c r="BT794" s="55">
        <v>679030.95234239998</v>
      </c>
      <c r="BU794" s="55">
        <v>0</v>
      </c>
      <c r="BV794" s="55"/>
      <c r="BW794" s="55">
        <v>0</v>
      </c>
      <c r="BX794" s="55"/>
      <c r="BY794" s="55">
        <v>15720059.333967701</v>
      </c>
      <c r="BZ794" s="55"/>
      <c r="CA794" s="63"/>
      <c r="CB794" s="64">
        <v>308660.16468196001</v>
      </c>
      <c r="CD794" s="75"/>
      <c r="CE794" s="6"/>
    </row>
    <row r="795" spans="1:83" x14ac:dyDescent="0.25">
      <c r="A795" s="105">
        <f t="shared" si="199"/>
        <v>773</v>
      </c>
      <c r="B795" s="106">
        <f t="shared" si="206"/>
        <v>313</v>
      </c>
      <c r="C795" s="107" t="s">
        <v>224</v>
      </c>
      <c r="D795" s="107" t="s">
        <v>721</v>
      </c>
      <c r="E795" s="128">
        <v>1989</v>
      </c>
      <c r="F795" s="128">
        <v>2015</v>
      </c>
      <c r="G795" s="128" t="s">
        <v>64</v>
      </c>
      <c r="H795" s="128">
        <v>9</v>
      </c>
      <c r="I795" s="128">
        <v>1</v>
      </c>
      <c r="J795" s="63">
        <v>2263.8000000000002</v>
      </c>
      <c r="K795" s="63">
        <v>1890.48</v>
      </c>
      <c r="L795" s="63">
        <v>120.7</v>
      </c>
      <c r="M795" s="129">
        <v>89</v>
      </c>
      <c r="N795" s="108">
        <v>5340335.5</v>
      </c>
      <c r="O795" s="63"/>
      <c r="P795" s="63"/>
      <c r="Q795" s="63"/>
      <c r="R795" s="62">
        <v>1315469.3500000001</v>
      </c>
      <c r="S795" s="62">
        <v>4024866.15</v>
      </c>
      <c r="T795" s="63"/>
      <c r="U795" s="63">
        <v>2655.32448662139</v>
      </c>
      <c r="V795" s="63">
        <v>2655.32448662139</v>
      </c>
      <c r="W795" s="59">
        <v>2024</v>
      </c>
      <c r="X795" s="6" t="e">
        <v>#REF!</v>
      </c>
      <c r="Z795" s="62">
        <f t="shared" si="204"/>
        <v>9119250.5199999996</v>
      </c>
      <c r="AA795" s="55">
        <v>4650099.0199755002</v>
      </c>
      <c r="AB795" s="55">
        <v>3191386.1136439801</v>
      </c>
      <c r="AC795" s="55">
        <v>0</v>
      </c>
      <c r="AD795" s="55">
        <v>0</v>
      </c>
      <c r="AE795" s="55">
        <v>0</v>
      </c>
      <c r="AF795" s="55"/>
      <c r="AG795" s="55">
        <v>223707.09100320001</v>
      </c>
      <c r="AH795" s="55">
        <v>0</v>
      </c>
      <c r="AI795" s="55">
        <v>0</v>
      </c>
      <c r="AJ795" s="55">
        <v>0</v>
      </c>
      <c r="AK795" s="55">
        <v>0</v>
      </c>
      <c r="AL795" s="55">
        <v>0</v>
      </c>
      <c r="AM795" s="55">
        <v>786496.37100000004</v>
      </c>
      <c r="AN795" s="63">
        <v>91192.5052</v>
      </c>
      <c r="AO795" s="64">
        <v>176369.41917732</v>
      </c>
      <c r="AP795" s="61">
        <f>+N795-'Приложение №2'!E795</f>
        <v>-1.0031992569565773E-3</v>
      </c>
      <c r="AQ795" s="1">
        <v>1031474.39</v>
      </c>
      <c r="AR795" s="3">
        <f>+(K795*13.29+L795*22.52)*12*0.85</f>
        <v>283994.96064</v>
      </c>
      <c r="AS795" s="3">
        <f>+(K795*13.29+L795*22.52)*12*30</f>
        <v>10023351.552000001</v>
      </c>
      <c r="AT795" s="6">
        <f t="shared" si="205"/>
        <v>-5998485.4020000007</v>
      </c>
      <c r="AU795" s="6" t="e">
        <v>#REF!</v>
      </c>
      <c r="AV795" s="6" t="e">
        <v>#REF!</v>
      </c>
      <c r="AW795" s="62">
        <f t="shared" si="197"/>
        <v>5340335.5010031993</v>
      </c>
      <c r="AX795" s="55">
        <v>5007132.5620259997</v>
      </c>
      <c r="AY795" s="55"/>
      <c r="AZ795" s="55"/>
      <c r="BA795" s="55"/>
      <c r="BB795" s="55"/>
      <c r="BC795" s="55"/>
      <c r="BD795" s="55">
        <v>223707.09100320001</v>
      </c>
      <c r="BE795" s="55">
        <v>0</v>
      </c>
      <c r="BF795" s="55">
        <v>0</v>
      </c>
      <c r="BG795" s="55">
        <v>0</v>
      </c>
      <c r="BH795" s="55">
        <v>0</v>
      </c>
      <c r="BI795" s="55"/>
      <c r="BJ795" s="55"/>
      <c r="BK795" s="63"/>
      <c r="BL795" s="64">
        <v>109495.847974</v>
      </c>
      <c r="BM795" s="62">
        <f t="shared" si="198"/>
        <v>5340335.5010031993</v>
      </c>
      <c r="BN795" s="55">
        <v>5007132.5620259997</v>
      </c>
      <c r="BO795" s="55"/>
      <c r="BP795" s="55"/>
      <c r="BQ795" s="55"/>
      <c r="BR795" s="55"/>
      <c r="BS795" s="55"/>
      <c r="BT795" s="55">
        <v>223707.09100320001</v>
      </c>
      <c r="BU795" s="55">
        <v>0</v>
      </c>
      <c r="BV795" s="55">
        <v>0</v>
      </c>
      <c r="BW795" s="55">
        <v>0</v>
      </c>
      <c r="BX795" s="55">
        <v>0</v>
      </c>
      <c r="BY795" s="55"/>
      <c r="BZ795" s="55"/>
      <c r="CA795" s="63"/>
      <c r="CB795" s="64">
        <v>109495.847974</v>
      </c>
      <c r="CD795" s="75"/>
      <c r="CE795" s="6"/>
    </row>
    <row r="796" spans="1:83" x14ac:dyDescent="0.25">
      <c r="A796" s="105">
        <f t="shared" si="199"/>
        <v>774</v>
      </c>
      <c r="B796" s="106">
        <f t="shared" si="206"/>
        <v>314</v>
      </c>
      <c r="C796" s="107" t="s">
        <v>224</v>
      </c>
      <c r="D796" s="107" t="s">
        <v>722</v>
      </c>
      <c r="E796" s="128">
        <v>1991</v>
      </c>
      <c r="F796" s="128">
        <v>2012</v>
      </c>
      <c r="G796" s="128" t="s">
        <v>64</v>
      </c>
      <c r="H796" s="128">
        <v>9</v>
      </c>
      <c r="I796" s="128">
        <v>1</v>
      </c>
      <c r="J796" s="63">
        <v>2282.58</v>
      </c>
      <c r="K796" s="63">
        <v>1973.3</v>
      </c>
      <c r="L796" s="63">
        <v>54.5</v>
      </c>
      <c r="M796" s="129">
        <v>71</v>
      </c>
      <c r="N796" s="108">
        <v>5749866.5199999996</v>
      </c>
      <c r="O796" s="63"/>
      <c r="P796" s="63"/>
      <c r="Q796" s="63"/>
      <c r="R796" s="62">
        <v>1570692.63</v>
      </c>
      <c r="S796" s="62">
        <v>4179173.89</v>
      </c>
      <c r="T796" s="63"/>
      <c r="U796" s="63">
        <v>2913.83292955151</v>
      </c>
      <c r="V796" s="63">
        <v>1408.2830200640001</v>
      </c>
      <c r="W796" s="59">
        <v>2024</v>
      </c>
      <c r="X796" s="6" t="e">
        <v>#REF!</v>
      </c>
      <c r="Z796" s="62">
        <f t="shared" si="204"/>
        <v>11449528.669999998</v>
      </c>
      <c r="AA796" s="55">
        <v>4690983.0775407599</v>
      </c>
      <c r="AB796" s="55">
        <v>3219445.04641326</v>
      </c>
      <c r="AC796" s="55">
        <v>1959734.4140967601</v>
      </c>
      <c r="AD796" s="55">
        <v>0</v>
      </c>
      <c r="AE796" s="55">
        <v>0</v>
      </c>
      <c r="AF796" s="55"/>
      <c r="AG796" s="55">
        <v>225673.94234784</v>
      </c>
      <c r="AH796" s="55">
        <v>0</v>
      </c>
      <c r="AI796" s="55">
        <v>0</v>
      </c>
      <c r="AJ796" s="55">
        <v>0</v>
      </c>
      <c r="AK796" s="55">
        <v>0</v>
      </c>
      <c r="AL796" s="55">
        <v>0</v>
      </c>
      <c r="AM796" s="55">
        <v>1018421.4066</v>
      </c>
      <c r="AN796" s="63">
        <v>114495.2867</v>
      </c>
      <c r="AO796" s="64">
        <v>220775.49630137999</v>
      </c>
      <c r="AP796" s="61">
        <f>+N796-'Приложение №2'!E796</f>
        <v>1.159990206360817E-4</v>
      </c>
      <c r="AQ796" s="6">
        <f>1276764.74</f>
        <v>1276764.74</v>
      </c>
      <c r="AR796" s="3">
        <f>+(K796*13.95+L796*23.65)*12*0.85</f>
        <v>293927.89199999993</v>
      </c>
      <c r="AS796" s="3">
        <f>+(K796*13.95+L796*23.65)*12*30</f>
        <v>10373925.6</v>
      </c>
      <c r="AT796" s="6">
        <f t="shared" si="205"/>
        <v>-6194751.709999999</v>
      </c>
      <c r="AU796" s="6" t="e">
        <v>#REF!</v>
      </c>
      <c r="AV796" s="6" t="e">
        <v>#REF!</v>
      </c>
      <c r="AW796" s="110">
        <f t="shared" si="197"/>
        <v>5749866.5198840005</v>
      </c>
      <c r="AX796" s="55"/>
      <c r="AY796" s="55">
        <v>3526312.8793199998</v>
      </c>
      <c r="AZ796" s="55">
        <v>2147628.2009279998</v>
      </c>
      <c r="BA796" s="55">
        <v>0</v>
      </c>
      <c r="BB796" s="55">
        <v>0</v>
      </c>
      <c r="BC796" s="55"/>
      <c r="BD796" s="55"/>
      <c r="BE796" s="55">
        <v>0</v>
      </c>
      <c r="BF796" s="55">
        <v>0</v>
      </c>
      <c r="BG796" s="55">
        <v>0</v>
      </c>
      <c r="BH796" s="55">
        <v>0</v>
      </c>
      <c r="BI796" s="55">
        <v>0</v>
      </c>
      <c r="BJ796" s="55"/>
      <c r="BK796" s="63"/>
      <c r="BL796" s="64">
        <v>75925.439635999996</v>
      </c>
      <c r="BM796" s="110">
        <f t="shared" si="198"/>
        <v>5749866.5198840005</v>
      </c>
      <c r="BN796" s="55"/>
      <c r="BO796" s="55">
        <v>3526312.8793199998</v>
      </c>
      <c r="BP796" s="55">
        <v>2147628.2009279998</v>
      </c>
      <c r="BQ796" s="55">
        <v>0</v>
      </c>
      <c r="BR796" s="55">
        <v>0</v>
      </c>
      <c r="BS796" s="55"/>
      <c r="BT796" s="55"/>
      <c r="BU796" s="55">
        <v>0</v>
      </c>
      <c r="BV796" s="55">
        <v>0</v>
      </c>
      <c r="BW796" s="55">
        <v>0</v>
      </c>
      <c r="BX796" s="55">
        <v>0</v>
      </c>
      <c r="BY796" s="55">
        <v>0</v>
      </c>
      <c r="BZ796" s="55"/>
      <c r="CA796" s="63"/>
      <c r="CB796" s="64">
        <v>75925.439635999996</v>
      </c>
      <c r="CD796" s="75"/>
      <c r="CE796" s="6"/>
    </row>
    <row r="797" spans="1:83" x14ac:dyDescent="0.25">
      <c r="A797" s="105">
        <f t="shared" si="199"/>
        <v>775</v>
      </c>
      <c r="B797" s="106">
        <f t="shared" si="206"/>
        <v>315</v>
      </c>
      <c r="C797" s="107" t="s">
        <v>224</v>
      </c>
      <c r="D797" s="107" t="s">
        <v>723</v>
      </c>
      <c r="E797" s="128">
        <v>1983</v>
      </c>
      <c r="F797" s="128">
        <v>2015</v>
      </c>
      <c r="G797" s="128" t="s">
        <v>64</v>
      </c>
      <c r="H797" s="128">
        <v>9</v>
      </c>
      <c r="I797" s="128">
        <v>1</v>
      </c>
      <c r="J797" s="63">
        <v>5368</v>
      </c>
      <c r="K797" s="63">
        <v>4278.88</v>
      </c>
      <c r="L797" s="63">
        <v>61.4</v>
      </c>
      <c r="M797" s="129">
        <v>194</v>
      </c>
      <c r="N797" s="108">
        <v>4344120.8</v>
      </c>
      <c r="O797" s="63"/>
      <c r="P797" s="63"/>
      <c r="Q797" s="63"/>
      <c r="R797" s="62">
        <v>3693718.29</v>
      </c>
      <c r="S797" s="62">
        <v>650402.51</v>
      </c>
      <c r="T797" s="63"/>
      <c r="U797" s="63">
        <v>1015.24716608084</v>
      </c>
      <c r="V797" s="63">
        <v>1405.2830200640001</v>
      </c>
      <c r="W797" s="59">
        <v>2024</v>
      </c>
      <c r="X797" s="6" t="e">
        <v>#REF!</v>
      </c>
      <c r="Z797" s="62">
        <f t="shared" si="204"/>
        <v>4881034.5999999996</v>
      </c>
      <c r="AA797" s="55">
        <v>0</v>
      </c>
      <c r="AB797" s="55">
        <v>0</v>
      </c>
      <c r="AC797" s="55">
        <v>4251156.6090083998</v>
      </c>
      <c r="AD797" s="55">
        <v>0</v>
      </c>
      <c r="AE797" s="55">
        <v>0</v>
      </c>
      <c r="AF797" s="55"/>
      <c r="AG797" s="55">
        <v>0</v>
      </c>
      <c r="AH797" s="55">
        <v>0</v>
      </c>
      <c r="AI797" s="55">
        <v>0</v>
      </c>
      <c r="AJ797" s="55">
        <v>0</v>
      </c>
      <c r="AK797" s="55">
        <v>0</v>
      </c>
      <c r="AL797" s="55">
        <v>0</v>
      </c>
      <c r="AM797" s="55">
        <v>488103.46</v>
      </c>
      <c r="AN797" s="63">
        <v>48810.345999999998</v>
      </c>
      <c r="AO797" s="64">
        <v>92964.184991600006</v>
      </c>
      <c r="AP797" s="61">
        <f>+N797-'Приложение №2'!E797</f>
        <v>6.0000000521540642E-3</v>
      </c>
      <c r="AQ797" s="65">
        <v>3070064.93</v>
      </c>
      <c r="AR797" s="3">
        <f>+(K797*13.95+L797*23.65)*12*0.85</f>
        <v>623653.35719999997</v>
      </c>
      <c r="AS797" s="3">
        <f>+(K797*13.95+L797*23.65)*12*30</f>
        <v>22011294.959999997</v>
      </c>
      <c r="AT797" s="6">
        <f t="shared" si="205"/>
        <v>-21360892.449999996</v>
      </c>
      <c r="AU797" s="6" t="e">
        <v>#REF!</v>
      </c>
      <c r="AV797" s="6" t="e">
        <v>#REF!</v>
      </c>
      <c r="AW797" s="110">
        <f t="shared" si="197"/>
        <v>4344120.7939999998</v>
      </c>
      <c r="AX797" s="55">
        <v>0</v>
      </c>
      <c r="AY797" s="55">
        <v>0</v>
      </c>
      <c r="AZ797" s="55">
        <v>4251156.6090083998</v>
      </c>
      <c r="BA797" s="55">
        <v>0</v>
      </c>
      <c r="BB797" s="55">
        <v>0</v>
      </c>
      <c r="BC797" s="55"/>
      <c r="BD797" s="55"/>
      <c r="BE797" s="55">
        <v>0</v>
      </c>
      <c r="BF797" s="55">
        <v>0</v>
      </c>
      <c r="BG797" s="55">
        <v>0</v>
      </c>
      <c r="BH797" s="55">
        <v>0</v>
      </c>
      <c r="BI797" s="55">
        <v>0</v>
      </c>
      <c r="BJ797" s="55"/>
      <c r="BK797" s="63"/>
      <c r="BL797" s="64">
        <v>92964.184991600006</v>
      </c>
      <c r="BM797" s="110">
        <f t="shared" si="198"/>
        <v>4344120.7939999998</v>
      </c>
      <c r="BN797" s="55">
        <v>0</v>
      </c>
      <c r="BO797" s="55">
        <v>0</v>
      </c>
      <c r="BP797" s="55">
        <v>4251156.6090083998</v>
      </c>
      <c r="BQ797" s="55">
        <v>0</v>
      </c>
      <c r="BR797" s="55">
        <v>0</v>
      </c>
      <c r="BS797" s="55"/>
      <c r="BT797" s="55"/>
      <c r="BU797" s="55">
        <v>0</v>
      </c>
      <c r="BV797" s="55">
        <v>0</v>
      </c>
      <c r="BW797" s="55">
        <v>0</v>
      </c>
      <c r="BX797" s="55">
        <v>0</v>
      </c>
      <c r="BY797" s="55">
        <v>0</v>
      </c>
      <c r="BZ797" s="55"/>
      <c r="CA797" s="63"/>
      <c r="CB797" s="64">
        <v>92964.184991600006</v>
      </c>
      <c r="CD797" s="75"/>
      <c r="CE797" s="6"/>
    </row>
    <row r="798" spans="1:83" x14ac:dyDescent="0.25">
      <c r="A798" s="105">
        <f t="shared" si="199"/>
        <v>776</v>
      </c>
      <c r="B798" s="106">
        <f t="shared" si="206"/>
        <v>316</v>
      </c>
      <c r="C798" s="107" t="s">
        <v>224</v>
      </c>
      <c r="D798" s="107" t="s">
        <v>724</v>
      </c>
      <c r="E798" s="128">
        <v>1992</v>
      </c>
      <c r="F798" s="128">
        <v>2013</v>
      </c>
      <c r="G798" s="128" t="s">
        <v>64</v>
      </c>
      <c r="H798" s="128">
        <v>9</v>
      </c>
      <c r="I798" s="128">
        <v>1</v>
      </c>
      <c r="J798" s="63">
        <v>2277.4</v>
      </c>
      <c r="K798" s="63">
        <v>2020.55</v>
      </c>
      <c r="L798" s="63">
        <v>0</v>
      </c>
      <c r="M798" s="129">
        <v>98</v>
      </c>
      <c r="N798" s="108">
        <v>3266851.39</v>
      </c>
      <c r="O798" s="63"/>
      <c r="P798" s="63"/>
      <c r="Q798" s="63"/>
      <c r="R798" s="62">
        <v>1784639.68</v>
      </c>
      <c r="S798" s="62">
        <v>1482211.71</v>
      </c>
      <c r="T798" s="63"/>
      <c r="U798" s="63">
        <v>1616.8129423176899</v>
      </c>
      <c r="V798" s="63">
        <v>1406.2830200640001</v>
      </c>
      <c r="W798" s="59">
        <v>2024</v>
      </c>
      <c r="X798" s="6" t="e">
        <v>#REF!</v>
      </c>
      <c r="Z798" s="62">
        <f t="shared" si="204"/>
        <v>9135122.7100000009</v>
      </c>
      <c r="AA798" s="55">
        <v>4658192.5833370201</v>
      </c>
      <c r="AB798" s="55">
        <v>3196940.7708411599</v>
      </c>
      <c r="AC798" s="55">
        <v>0</v>
      </c>
      <c r="AD798" s="55">
        <v>0</v>
      </c>
      <c r="AE798" s="55">
        <v>0</v>
      </c>
      <c r="AF798" s="55"/>
      <c r="AG798" s="55">
        <v>224096.45637120001</v>
      </c>
      <c r="AH798" s="55">
        <v>0</v>
      </c>
      <c r="AI798" s="55">
        <v>0</v>
      </c>
      <c r="AJ798" s="55">
        <v>0</v>
      </c>
      <c r="AK798" s="55">
        <v>0</v>
      </c>
      <c r="AL798" s="55">
        <v>0</v>
      </c>
      <c r="AM798" s="55">
        <v>787865.27960000001</v>
      </c>
      <c r="AN798" s="63">
        <v>91351.227100000004</v>
      </c>
      <c r="AO798" s="64">
        <v>176676.39275062</v>
      </c>
      <c r="AP798" s="61">
        <f>+N798-'Приложение №2'!E798</f>
        <v>-5.9999991208314896E-4</v>
      </c>
      <c r="AQ798" s="65">
        <v>1497135.62</v>
      </c>
      <c r="AR798" s="3">
        <f>+(K798*13.95+L798*23.65)*12*0.85</f>
        <v>287504.05949999997</v>
      </c>
      <c r="AS798" s="3">
        <f>+(K798*13.95+L798*23.65)*12*30</f>
        <v>10147202.099999998</v>
      </c>
      <c r="AT798" s="6">
        <f t="shared" si="205"/>
        <v>-8664990.3899999969</v>
      </c>
      <c r="AU798" s="6" t="e">
        <v>#REF!</v>
      </c>
      <c r="AV798" s="6" t="e">
        <v>#REF!</v>
      </c>
      <c r="AW798" s="110">
        <f t="shared" si="197"/>
        <v>3266851.3906</v>
      </c>
      <c r="AX798" s="55"/>
      <c r="AY798" s="55">
        <v>3196940.7708411599</v>
      </c>
      <c r="AZ798" s="55">
        <v>0</v>
      </c>
      <c r="BA798" s="55">
        <v>0</v>
      </c>
      <c r="BB798" s="55">
        <v>0</v>
      </c>
      <c r="BC798" s="55"/>
      <c r="BD798" s="55"/>
      <c r="BE798" s="55">
        <v>0</v>
      </c>
      <c r="BF798" s="55">
        <v>0</v>
      </c>
      <c r="BG798" s="55">
        <v>0</v>
      </c>
      <c r="BH798" s="55">
        <v>0</v>
      </c>
      <c r="BI798" s="55">
        <v>0</v>
      </c>
      <c r="BJ798" s="55"/>
      <c r="BK798" s="63"/>
      <c r="BL798" s="64">
        <v>69910.619758839995</v>
      </c>
      <c r="BM798" s="110">
        <f t="shared" si="198"/>
        <v>3266851.3906</v>
      </c>
      <c r="BN798" s="55"/>
      <c r="BO798" s="55">
        <v>3196940.7708411599</v>
      </c>
      <c r="BP798" s="55">
        <v>0</v>
      </c>
      <c r="BQ798" s="55">
        <v>0</v>
      </c>
      <c r="BR798" s="55">
        <v>0</v>
      </c>
      <c r="BS798" s="55"/>
      <c r="BT798" s="55"/>
      <c r="BU798" s="55">
        <v>0</v>
      </c>
      <c r="BV798" s="55">
        <v>0</v>
      </c>
      <c r="BW798" s="55">
        <v>0</v>
      </c>
      <c r="BX798" s="55">
        <v>0</v>
      </c>
      <c r="BY798" s="55">
        <v>0</v>
      </c>
      <c r="BZ798" s="55"/>
      <c r="CA798" s="63"/>
      <c r="CB798" s="64">
        <v>69910.619758839995</v>
      </c>
      <c r="CD798" s="75"/>
      <c r="CE798" s="6"/>
    </row>
    <row r="799" spans="1:83" x14ac:dyDescent="0.25">
      <c r="A799" s="105">
        <f t="shared" si="199"/>
        <v>777</v>
      </c>
      <c r="B799" s="106">
        <f t="shared" si="206"/>
        <v>317</v>
      </c>
      <c r="C799" s="107" t="s">
        <v>224</v>
      </c>
      <c r="D799" s="107" t="s">
        <v>725</v>
      </c>
      <c r="E799" s="128">
        <v>1989</v>
      </c>
      <c r="F799" s="128">
        <v>2015</v>
      </c>
      <c r="G799" s="128" t="s">
        <v>64</v>
      </c>
      <c r="H799" s="128">
        <v>9</v>
      </c>
      <c r="I799" s="128">
        <v>1</v>
      </c>
      <c r="J799" s="63">
        <v>2250.9</v>
      </c>
      <c r="K799" s="63">
        <v>2005.7</v>
      </c>
      <c r="L799" s="63">
        <v>0</v>
      </c>
      <c r="M799" s="129">
        <v>81</v>
      </c>
      <c r="N799" s="108">
        <v>8858174.1699999999</v>
      </c>
      <c r="O799" s="63"/>
      <c r="P799" s="63"/>
      <c r="Q799" s="63"/>
      <c r="R799" s="62">
        <v>1375698.09</v>
      </c>
      <c r="S799" s="62">
        <v>7482476.0800000001</v>
      </c>
      <c r="T799" s="63"/>
      <c r="U799" s="63">
        <v>4416.5000596659502</v>
      </c>
      <c r="V799" s="63">
        <v>4416.5000596659502</v>
      </c>
      <c r="W799" s="59">
        <v>2024</v>
      </c>
      <c r="X799" s="6" t="e">
        <v>#REF!</v>
      </c>
      <c r="Z799" s="62">
        <f t="shared" si="204"/>
        <v>8960039.7127500009</v>
      </c>
      <c r="AA799" s="55">
        <v>4869659.12</v>
      </c>
      <c r="AB799" s="55">
        <v>3179641.99571718</v>
      </c>
      <c r="AC799" s="55">
        <v>0</v>
      </c>
      <c r="AD799" s="55">
        <v>0</v>
      </c>
      <c r="AE799" s="55">
        <v>0</v>
      </c>
      <c r="AF799" s="55"/>
      <c r="AG799" s="55">
        <v>222883.86136800001</v>
      </c>
      <c r="AH799" s="55">
        <v>0</v>
      </c>
      <c r="AI799" s="55">
        <v>0</v>
      </c>
      <c r="AJ799" s="55">
        <v>0</v>
      </c>
      <c r="AK799" s="55">
        <v>0</v>
      </c>
      <c r="AL799" s="55">
        <v>0</v>
      </c>
      <c r="AM799" s="55">
        <v>449564.57699999999</v>
      </c>
      <c r="AN799" s="63">
        <v>61925.636700000003</v>
      </c>
      <c r="AO799" s="64">
        <v>176364.52196481999</v>
      </c>
      <c r="AP799" s="61">
        <f>+N799-'Приложение №2'!E799</f>
        <v>3.2800063490867615E-4</v>
      </c>
      <c r="AQ799" s="1">
        <v>1103809.4099999999</v>
      </c>
      <c r="AR799" s="3">
        <f>+(K799*13.29+L799*22.52)*12*0.85</f>
        <v>271888.68060000002</v>
      </c>
      <c r="AS799" s="3">
        <f>+(K799*13.29+L799*22.52)*12*30</f>
        <v>9596071.0800000001</v>
      </c>
      <c r="AT799" s="6">
        <f t="shared" si="205"/>
        <v>-2113595</v>
      </c>
      <c r="AU799" s="6" t="e">
        <v>#REF!</v>
      </c>
      <c r="AV799" s="6" t="e">
        <v>#REF!</v>
      </c>
      <c r="AW799" s="62">
        <f t="shared" si="197"/>
        <v>8858174.1696719993</v>
      </c>
      <c r="AX799" s="55">
        <v>4988188.1969219996</v>
      </c>
      <c r="AY799" s="55">
        <v>3464508.143712</v>
      </c>
      <c r="AZ799" s="55">
        <v>0</v>
      </c>
      <c r="BA799" s="55">
        <v>0</v>
      </c>
      <c r="BB799" s="55">
        <v>0</v>
      </c>
      <c r="BC799" s="55"/>
      <c r="BD799" s="55">
        <v>222883.86136800001</v>
      </c>
      <c r="BE799" s="55">
        <v>0</v>
      </c>
      <c r="BF799" s="55">
        <v>0</v>
      </c>
      <c r="BG799" s="55">
        <v>0</v>
      </c>
      <c r="BH799" s="55">
        <v>0</v>
      </c>
      <c r="BI799" s="55">
        <v>0</v>
      </c>
      <c r="BJ799" s="55"/>
      <c r="BK799" s="63"/>
      <c r="BL799" s="64">
        <v>182593.96767000001</v>
      </c>
      <c r="BM799" s="62">
        <f t="shared" si="198"/>
        <v>8858174.1696719993</v>
      </c>
      <c r="BN799" s="55">
        <v>4988188.1969219996</v>
      </c>
      <c r="BO799" s="55">
        <v>3464508.143712</v>
      </c>
      <c r="BP799" s="55">
        <v>0</v>
      </c>
      <c r="BQ799" s="55">
        <v>0</v>
      </c>
      <c r="BR799" s="55">
        <v>0</v>
      </c>
      <c r="BS799" s="55"/>
      <c r="BT799" s="55">
        <v>222883.86136800001</v>
      </c>
      <c r="BU799" s="55">
        <v>0</v>
      </c>
      <c r="BV799" s="55">
        <v>0</v>
      </c>
      <c r="BW799" s="55">
        <v>0</v>
      </c>
      <c r="BX799" s="55">
        <v>0</v>
      </c>
      <c r="BY799" s="55">
        <v>0</v>
      </c>
      <c r="BZ799" s="55"/>
      <c r="CA799" s="63"/>
      <c r="CB799" s="64">
        <v>182593.96767000001</v>
      </c>
      <c r="CD799" s="75"/>
      <c r="CE799" s="6"/>
    </row>
    <row r="800" spans="1:83" x14ac:dyDescent="0.25">
      <c r="A800" s="105">
        <f t="shared" si="199"/>
        <v>778</v>
      </c>
      <c r="B800" s="106">
        <f t="shared" si="206"/>
        <v>318</v>
      </c>
      <c r="C800" s="107" t="s">
        <v>224</v>
      </c>
      <c r="D800" s="107" t="s">
        <v>726</v>
      </c>
      <c r="E800" s="128">
        <v>1992</v>
      </c>
      <c r="F800" s="128">
        <v>2015</v>
      </c>
      <c r="G800" s="128" t="s">
        <v>64</v>
      </c>
      <c r="H800" s="128">
        <v>9</v>
      </c>
      <c r="I800" s="128">
        <v>1</v>
      </c>
      <c r="J800" s="63">
        <v>2197.1999999999998</v>
      </c>
      <c r="K800" s="63">
        <v>1934.5</v>
      </c>
      <c r="L800" s="63">
        <v>60.3</v>
      </c>
      <c r="M800" s="129">
        <v>70</v>
      </c>
      <c r="N800" s="108">
        <v>3137273.63</v>
      </c>
      <c r="O800" s="63"/>
      <c r="P800" s="63"/>
      <c r="Q800" s="63"/>
      <c r="R800" s="62">
        <v>1655261.62</v>
      </c>
      <c r="S800" s="62">
        <v>1482012.01</v>
      </c>
      <c r="T800" s="63">
        <v>0</v>
      </c>
      <c r="U800" s="63">
        <v>1621.7491023003399</v>
      </c>
      <c r="V800" s="63">
        <v>1407.2830200640001</v>
      </c>
      <c r="W800" s="59">
        <v>2024</v>
      </c>
      <c r="X800" s="6" t="e">
        <v>#REF!</v>
      </c>
      <c r="Z800" s="62">
        <f t="shared" si="204"/>
        <v>8772783.4000000004</v>
      </c>
      <c r="AA800" s="55">
        <v>4473428.0922458395</v>
      </c>
      <c r="AB800" s="55">
        <v>3070135.98253824</v>
      </c>
      <c r="AC800" s="55">
        <v>0</v>
      </c>
      <c r="AD800" s="55">
        <v>0</v>
      </c>
      <c r="AE800" s="55">
        <v>0</v>
      </c>
      <c r="AF800" s="55"/>
      <c r="AG800" s="55">
        <v>215207.80125600001</v>
      </c>
      <c r="AH800" s="55">
        <v>0</v>
      </c>
      <c r="AI800" s="55">
        <v>0</v>
      </c>
      <c r="AJ800" s="55">
        <v>0</v>
      </c>
      <c r="AK800" s="55">
        <v>0</v>
      </c>
      <c r="AL800" s="55">
        <v>0</v>
      </c>
      <c r="AM800" s="55">
        <v>756615.06319999998</v>
      </c>
      <c r="AN800" s="63">
        <v>87727.834000000003</v>
      </c>
      <c r="AO800" s="64">
        <v>169668.62675992001</v>
      </c>
      <c r="AP800" s="61">
        <f>+N800-'Приложение №2'!E800</f>
        <v>-8.4000001661479473E-3</v>
      </c>
      <c r="AQ800" s="65">
        <v>1365455.45</v>
      </c>
      <c r="AR800" s="3">
        <f>+(K800*13.95+L800*23.65)*12*0.85</f>
        <v>289806.174</v>
      </c>
      <c r="AS800" s="3">
        <f>+(K800*13.95+L800*23.65)*12*30</f>
        <v>10228453.199999999</v>
      </c>
      <c r="AT800" s="6">
        <f t="shared" si="205"/>
        <v>-8746441.1899999995</v>
      </c>
      <c r="AU800" s="6" t="e">
        <v>#REF!</v>
      </c>
      <c r="AV800" s="6" t="e">
        <v>#REF!</v>
      </c>
      <c r="AW800" s="110">
        <f t="shared" si="197"/>
        <v>3137273.6384000001</v>
      </c>
      <c r="AX800" s="55"/>
      <c r="AY800" s="55">
        <v>3070135.98253824</v>
      </c>
      <c r="AZ800" s="55">
        <v>0</v>
      </c>
      <c r="BA800" s="55">
        <v>0</v>
      </c>
      <c r="BB800" s="55">
        <v>0</v>
      </c>
      <c r="BC800" s="55"/>
      <c r="BD800" s="55"/>
      <c r="BE800" s="55">
        <v>0</v>
      </c>
      <c r="BF800" s="55">
        <v>0</v>
      </c>
      <c r="BG800" s="55">
        <v>0</v>
      </c>
      <c r="BH800" s="55">
        <v>0</v>
      </c>
      <c r="BI800" s="55">
        <v>0</v>
      </c>
      <c r="BJ800" s="55"/>
      <c r="BK800" s="63"/>
      <c r="BL800" s="64">
        <v>67137.655861759995</v>
      </c>
      <c r="BM800" s="110">
        <f t="shared" si="198"/>
        <v>3137273.6384000001</v>
      </c>
      <c r="BN800" s="55"/>
      <c r="BO800" s="55">
        <v>3070135.98253824</v>
      </c>
      <c r="BP800" s="55">
        <v>0</v>
      </c>
      <c r="BQ800" s="55">
        <v>0</v>
      </c>
      <c r="BR800" s="55">
        <v>0</v>
      </c>
      <c r="BS800" s="55"/>
      <c r="BT800" s="55"/>
      <c r="BU800" s="55">
        <v>0</v>
      </c>
      <c r="BV800" s="55">
        <v>0</v>
      </c>
      <c r="BW800" s="55">
        <v>0</v>
      </c>
      <c r="BX800" s="55">
        <v>0</v>
      </c>
      <c r="BY800" s="55">
        <v>0</v>
      </c>
      <c r="BZ800" s="55"/>
      <c r="CA800" s="63"/>
      <c r="CB800" s="64">
        <v>67137.655861759995</v>
      </c>
      <c r="CD800" s="75"/>
      <c r="CE800" s="6"/>
    </row>
    <row r="801" spans="1:83" x14ac:dyDescent="0.25">
      <c r="A801" s="105">
        <f t="shared" si="199"/>
        <v>779</v>
      </c>
      <c r="B801" s="106">
        <f t="shared" si="206"/>
        <v>319</v>
      </c>
      <c r="C801" s="107" t="s">
        <v>224</v>
      </c>
      <c r="D801" s="107" t="s">
        <v>727</v>
      </c>
      <c r="E801" s="128">
        <v>1988</v>
      </c>
      <c r="F801" s="128">
        <v>2014</v>
      </c>
      <c r="G801" s="128" t="s">
        <v>64</v>
      </c>
      <c r="H801" s="128">
        <v>9</v>
      </c>
      <c r="I801" s="128">
        <v>1</v>
      </c>
      <c r="J801" s="63">
        <v>2270.5</v>
      </c>
      <c r="K801" s="63">
        <v>2006.4</v>
      </c>
      <c r="L801" s="63">
        <v>66</v>
      </c>
      <c r="M801" s="129">
        <v>90</v>
      </c>
      <c r="N801" s="108">
        <v>7981094.46</v>
      </c>
      <c r="O801" s="63"/>
      <c r="P801" s="63"/>
      <c r="Q801" s="63"/>
      <c r="R801" s="62">
        <v>1477419.75</v>
      </c>
      <c r="S801" s="62">
        <v>6503674.71</v>
      </c>
      <c r="T801" s="63"/>
      <c r="U801" s="63">
        <v>3609.9971147182</v>
      </c>
      <c r="V801" s="63">
        <v>3609.9971147182</v>
      </c>
      <c r="W801" s="59">
        <v>2024</v>
      </c>
      <c r="X801" s="6" t="e">
        <v>#REF!</v>
      </c>
      <c r="Z801" s="62">
        <f t="shared" si="204"/>
        <v>11270269.226899998</v>
      </c>
      <c r="AA801" s="55">
        <v>4965914.72</v>
      </c>
      <c r="AB801" s="55">
        <v>3178213.6485762601</v>
      </c>
      <c r="AC801" s="55">
        <v>1934636.11525968</v>
      </c>
      <c r="AD801" s="55">
        <v>0</v>
      </c>
      <c r="AE801" s="55">
        <v>0</v>
      </c>
      <c r="AF801" s="55"/>
      <c r="AG801" s="55">
        <v>222783.73884480001</v>
      </c>
      <c r="AH801" s="55">
        <v>0</v>
      </c>
      <c r="AI801" s="55">
        <v>0</v>
      </c>
      <c r="AJ801" s="55">
        <v>0</v>
      </c>
      <c r="AK801" s="55">
        <v>0</v>
      </c>
      <c r="AL801" s="55">
        <v>0</v>
      </c>
      <c r="AM801" s="55">
        <v>671526.34699999995</v>
      </c>
      <c r="AN801" s="63">
        <v>76330.362099999998</v>
      </c>
      <c r="AO801" s="64">
        <v>220864.29511926</v>
      </c>
      <c r="AP801" s="61">
        <f>+N801-'Приложение №2'!E801</f>
        <v>5.0999997183680534E-3</v>
      </c>
      <c r="AQ801" s="1">
        <v>1190275.71</v>
      </c>
      <c r="AR801" s="3">
        <f>+(K801*13.29+L801*22.52)*12*0.85</f>
        <v>287144.03519999998</v>
      </c>
      <c r="AS801" s="3">
        <f>+(K801*13.29+L801*22.52)*12*30</f>
        <v>10134495.359999999</v>
      </c>
      <c r="AT801" s="6">
        <f t="shared" si="205"/>
        <v>-3630820.6499999994</v>
      </c>
      <c r="AU801" s="6" t="e">
        <v>#REF!</v>
      </c>
      <c r="AV801" s="6" t="e">
        <v>#REF!</v>
      </c>
      <c r="AW801" s="62">
        <f t="shared" si="197"/>
        <v>7481358.0205419995</v>
      </c>
      <c r="AX801" s="55">
        <v>4993428.7956419997</v>
      </c>
      <c r="AY801" s="55"/>
      <c r="AZ801" s="55">
        <v>2109950.6526000001</v>
      </c>
      <c r="BA801" s="55">
        <v>0</v>
      </c>
      <c r="BB801" s="55">
        <v>0</v>
      </c>
      <c r="BC801" s="55"/>
      <c r="BD801" s="55">
        <v>222783.73884480001</v>
      </c>
      <c r="BE801" s="55">
        <v>0</v>
      </c>
      <c r="BF801" s="55">
        <v>0</v>
      </c>
      <c r="BG801" s="55">
        <v>0</v>
      </c>
      <c r="BH801" s="55">
        <v>0</v>
      </c>
      <c r="BI801" s="55">
        <v>0</v>
      </c>
      <c r="BJ801" s="55"/>
      <c r="BK801" s="63"/>
      <c r="BL801" s="64">
        <v>155194.83345519999</v>
      </c>
      <c r="BM801" s="62">
        <f t="shared" si="198"/>
        <v>7481358.0205419995</v>
      </c>
      <c r="BN801" s="55">
        <v>4993428.7956419997</v>
      </c>
      <c r="BO801" s="55"/>
      <c r="BP801" s="55">
        <v>2109950.6526000001</v>
      </c>
      <c r="BQ801" s="55">
        <v>0</v>
      </c>
      <c r="BR801" s="55">
        <v>0</v>
      </c>
      <c r="BS801" s="55"/>
      <c r="BT801" s="55">
        <v>222783.73884480001</v>
      </c>
      <c r="BU801" s="55">
        <v>0</v>
      </c>
      <c r="BV801" s="55">
        <v>0</v>
      </c>
      <c r="BW801" s="55">
        <v>0</v>
      </c>
      <c r="BX801" s="55">
        <v>0</v>
      </c>
      <c r="BY801" s="55">
        <v>0</v>
      </c>
      <c r="BZ801" s="55"/>
      <c r="CA801" s="63"/>
      <c r="CB801" s="64">
        <v>155194.83345519999</v>
      </c>
      <c r="CD801" s="75"/>
      <c r="CE801" s="6"/>
    </row>
    <row r="802" spans="1:83" x14ac:dyDescent="0.25">
      <c r="A802" s="105">
        <f t="shared" si="199"/>
        <v>780</v>
      </c>
      <c r="B802" s="106">
        <f t="shared" si="206"/>
        <v>320</v>
      </c>
      <c r="C802" s="53" t="s">
        <v>224</v>
      </c>
      <c r="D802" s="53" t="s">
        <v>728</v>
      </c>
      <c r="E802" s="54">
        <v>1971</v>
      </c>
      <c r="F802" s="54">
        <v>2015</v>
      </c>
      <c r="G802" s="54" t="s">
        <v>64</v>
      </c>
      <c r="H802" s="54">
        <v>4</v>
      </c>
      <c r="I802" s="54">
        <v>3</v>
      </c>
      <c r="J802" s="55">
        <v>2186.1</v>
      </c>
      <c r="K802" s="55">
        <v>2051.6</v>
      </c>
      <c r="L802" s="55">
        <v>31.5</v>
      </c>
      <c r="M802" s="56">
        <v>100</v>
      </c>
      <c r="N802" s="112">
        <v>2261941.7799999998</v>
      </c>
      <c r="O802" s="55"/>
      <c r="P802" s="63"/>
      <c r="Q802" s="63"/>
      <c r="R802" s="62">
        <v>563744.61</v>
      </c>
      <c r="S802" s="62">
        <v>1698197.17</v>
      </c>
      <c r="T802" s="63"/>
      <c r="U802" s="55">
        <v>2872.3168575200398</v>
      </c>
      <c r="V802" s="55">
        <v>2872.3168575200398</v>
      </c>
      <c r="W802" s="59">
        <v>2024</v>
      </c>
      <c r="X802" s="6" t="e">
        <v>#REF!</v>
      </c>
      <c r="Z802" s="62">
        <f t="shared" si="204"/>
        <v>6575080.4899999993</v>
      </c>
      <c r="AA802" s="55">
        <v>5855280.1284377398</v>
      </c>
      <c r="AB802" s="55">
        <v>0</v>
      </c>
      <c r="AC802" s="55">
        <v>0</v>
      </c>
      <c r="AD802" s="55">
        <v>0</v>
      </c>
      <c r="AE802" s="55">
        <v>0</v>
      </c>
      <c r="AF802" s="55"/>
      <c r="AG802" s="55">
        <v>0</v>
      </c>
      <c r="AH802" s="55">
        <v>0</v>
      </c>
      <c r="AI802" s="55">
        <v>0</v>
      </c>
      <c r="AJ802" s="55">
        <v>0</v>
      </c>
      <c r="AK802" s="55">
        <v>0</v>
      </c>
      <c r="AL802" s="55">
        <v>0</v>
      </c>
      <c r="AM802" s="55">
        <v>526006.43920000002</v>
      </c>
      <c r="AN802" s="63">
        <v>65750.804900000003</v>
      </c>
      <c r="AO802" s="64">
        <v>128043.11746225999</v>
      </c>
      <c r="AP802" s="61">
        <f>+N802-'Приложение №2'!E802</f>
        <v>2.5377394631505013E-3</v>
      </c>
      <c r="AQ802" s="1">
        <v>893583.94</v>
      </c>
      <c r="AR802" s="3">
        <f>+(K802*10+L802*20)*12*0.85</f>
        <v>215689.19999999998</v>
      </c>
      <c r="AS802" s="3">
        <f>+(K802*10+L802*20)*12*30</f>
        <v>7612560</v>
      </c>
      <c r="AT802" s="6">
        <f t="shared" si="205"/>
        <v>-5914362.8300000001</v>
      </c>
      <c r="AU802" s="6" t="e">
        <v>#REF!</v>
      </c>
      <c r="AV802" s="6" t="e">
        <v>#REF!</v>
      </c>
      <c r="AW802" s="62">
        <f t="shared" ref="AW802:AW865" si="207">SUBTOTAL(9, AX802:BL802)</f>
        <v>5983323.2458999995</v>
      </c>
      <c r="AX802" s="55">
        <v>5855280.1284377398</v>
      </c>
      <c r="AY802" s="55">
        <v>0</v>
      </c>
      <c r="AZ802" s="55">
        <v>0</v>
      </c>
      <c r="BA802" s="55">
        <v>0</v>
      </c>
      <c r="BB802" s="55">
        <v>0</v>
      </c>
      <c r="BC802" s="55"/>
      <c r="BD802" s="55"/>
      <c r="BE802" s="55">
        <v>0</v>
      </c>
      <c r="BF802" s="55">
        <v>0</v>
      </c>
      <c r="BG802" s="55">
        <v>0</v>
      </c>
      <c r="BH802" s="55">
        <v>0</v>
      </c>
      <c r="BI802" s="55">
        <v>0</v>
      </c>
      <c r="BJ802" s="55"/>
      <c r="BK802" s="63"/>
      <c r="BL802" s="111">
        <v>128043.11746225999</v>
      </c>
      <c r="BM802" s="62">
        <f t="shared" ref="BM802:BM865" si="208">SUBTOTAL(9, BN802:CB802)</f>
        <v>5983323.2458999995</v>
      </c>
      <c r="BN802" s="55">
        <v>5855280.1284377398</v>
      </c>
      <c r="BO802" s="55">
        <v>0</v>
      </c>
      <c r="BP802" s="55">
        <v>0</v>
      </c>
      <c r="BQ802" s="55">
        <v>0</v>
      </c>
      <c r="BR802" s="55">
        <v>0</v>
      </c>
      <c r="BS802" s="55"/>
      <c r="BT802" s="55"/>
      <c r="BU802" s="55">
        <v>0</v>
      </c>
      <c r="BV802" s="55">
        <v>0</v>
      </c>
      <c r="BW802" s="55">
        <v>0</v>
      </c>
      <c r="BX802" s="55">
        <v>0</v>
      </c>
      <c r="BY802" s="55">
        <v>0</v>
      </c>
      <c r="BZ802" s="55"/>
      <c r="CA802" s="63"/>
      <c r="CB802" s="64">
        <v>128043.11746225999</v>
      </c>
      <c r="CD802" s="75"/>
      <c r="CE802" s="6"/>
    </row>
    <row r="803" spans="1:83" s="69" customFormat="1" x14ac:dyDescent="0.25">
      <c r="A803" s="105">
        <f t="shared" ref="A803:A851" si="209">+A802+1</f>
        <v>781</v>
      </c>
      <c r="B803" s="106">
        <f t="shared" si="206"/>
        <v>321</v>
      </c>
      <c r="C803" s="107" t="s">
        <v>224</v>
      </c>
      <c r="D803" s="107" t="s">
        <v>729</v>
      </c>
      <c r="E803" s="128" t="s">
        <v>730</v>
      </c>
      <c r="F803" s="128" t="s">
        <v>730</v>
      </c>
      <c r="G803" s="128" t="s">
        <v>64</v>
      </c>
      <c r="H803" s="128" t="s">
        <v>123</v>
      </c>
      <c r="I803" s="128" t="s">
        <v>229</v>
      </c>
      <c r="J803" s="63">
        <v>2491.9</v>
      </c>
      <c r="K803" s="63">
        <v>1556.5</v>
      </c>
      <c r="L803" s="63">
        <v>0</v>
      </c>
      <c r="M803" s="129">
        <v>87</v>
      </c>
      <c r="N803" s="108">
        <v>4271050.01</v>
      </c>
      <c r="O803" s="63">
        <v>0</v>
      </c>
      <c r="P803" s="63"/>
      <c r="Q803" s="63"/>
      <c r="R803" s="62">
        <v>918885.62</v>
      </c>
      <c r="S803" s="62">
        <v>3352164.39</v>
      </c>
      <c r="T803" s="63"/>
      <c r="U803" s="63">
        <v>2744.00899453903</v>
      </c>
      <c r="V803" s="63">
        <v>1409.2830200640001</v>
      </c>
      <c r="W803" s="59">
        <v>2024</v>
      </c>
      <c r="X803" s="69">
        <v>387429.28</v>
      </c>
      <c r="Y803" s="69">
        <f>+(K803*12.08+L803*20.47)*12</f>
        <v>225630.24</v>
      </c>
      <c r="AA803" s="70" t="e">
        <v>#REF!</v>
      </c>
      <c r="AD803" s="70" t="e">
        <v>#REF!</v>
      </c>
      <c r="AP803" s="61">
        <f>+N803-'Приложение №2'!E803</f>
        <v>9.9999997764825821E-3</v>
      </c>
      <c r="AQ803" s="65">
        <v>697411.23</v>
      </c>
      <c r="AR803" s="3">
        <f>+(K803*13.95+L803*23.65)*12*0.85</f>
        <v>221474.38499999998</v>
      </c>
      <c r="AS803" s="3">
        <f>+(K803*13.95+L803*23.65)*12*30</f>
        <v>7816742.9999999991</v>
      </c>
      <c r="AT803" s="6">
        <f t="shared" si="205"/>
        <v>-4464578.6099999994</v>
      </c>
      <c r="AU803" s="6" t="e">
        <v>#REF!</v>
      </c>
      <c r="AV803" s="6" t="e">
        <v>#REF!</v>
      </c>
      <c r="AW803" s="110">
        <f t="shared" si="207"/>
        <v>4271050</v>
      </c>
      <c r="AX803" s="55"/>
      <c r="AY803" s="55"/>
      <c r="AZ803" s="55"/>
      <c r="BA803" s="55"/>
      <c r="BB803" s="55"/>
      <c r="BC803" s="55"/>
      <c r="BD803" s="55"/>
      <c r="BE803" s="55">
        <v>4012463.5488</v>
      </c>
      <c r="BF803" s="55"/>
      <c r="BG803" s="55"/>
      <c r="BH803" s="55"/>
      <c r="BI803" s="55"/>
      <c r="BJ803" s="55">
        <v>128131.5</v>
      </c>
      <c r="BK803" s="63">
        <v>42710.5</v>
      </c>
      <c r="BL803" s="64">
        <v>87744.451199999996</v>
      </c>
      <c r="BM803" s="110">
        <f t="shared" si="208"/>
        <v>4271050</v>
      </c>
      <c r="BN803" s="55"/>
      <c r="BO803" s="55"/>
      <c r="BP803" s="55"/>
      <c r="BQ803" s="55"/>
      <c r="BR803" s="55"/>
      <c r="BS803" s="55"/>
      <c r="BT803" s="55"/>
      <c r="BU803" s="55">
        <v>4012463.5488</v>
      </c>
      <c r="BV803" s="55"/>
      <c r="BW803" s="55"/>
      <c r="BX803" s="55"/>
      <c r="BY803" s="55"/>
      <c r="BZ803" s="55">
        <v>128131.5</v>
      </c>
      <c r="CA803" s="63">
        <v>42710.5</v>
      </c>
      <c r="CB803" s="64">
        <v>87744.451199999996</v>
      </c>
      <c r="CD803" s="75"/>
      <c r="CE803" s="6"/>
    </row>
    <row r="804" spans="1:83" x14ac:dyDescent="0.25">
      <c r="A804" s="105">
        <f t="shared" si="209"/>
        <v>782</v>
      </c>
      <c r="B804" s="106">
        <f t="shared" si="206"/>
        <v>322</v>
      </c>
      <c r="C804" s="107" t="s">
        <v>224</v>
      </c>
      <c r="D804" s="107" t="s">
        <v>731</v>
      </c>
      <c r="E804" s="128">
        <v>1993</v>
      </c>
      <c r="F804" s="128">
        <v>2016</v>
      </c>
      <c r="G804" s="128" t="s">
        <v>64</v>
      </c>
      <c r="H804" s="128">
        <v>9</v>
      </c>
      <c r="I804" s="128">
        <v>1</v>
      </c>
      <c r="J804" s="63">
        <v>2834.5</v>
      </c>
      <c r="K804" s="63">
        <v>1783.4</v>
      </c>
      <c r="L804" s="63">
        <v>0</v>
      </c>
      <c r="M804" s="129">
        <v>147</v>
      </c>
      <c r="N804" s="108">
        <v>3195363.85</v>
      </c>
      <c r="O804" s="63"/>
      <c r="P804" s="63"/>
      <c r="Q804" s="63"/>
      <c r="R804" s="62">
        <v>779041.66</v>
      </c>
      <c r="S804" s="62">
        <v>2416322.19</v>
      </c>
      <c r="T804" s="63"/>
      <c r="U804" s="63">
        <v>1791.72583258944</v>
      </c>
      <c r="V804" s="63">
        <v>1791.72583258944</v>
      </c>
      <c r="W804" s="59">
        <v>2024</v>
      </c>
      <c r="X804" s="6" t="e">
        <v>#REF!</v>
      </c>
      <c r="Z804" s="62">
        <f t="shared" ref="Z804:Z810" si="210">SUM(AA804:AO804)</f>
        <v>3200641.0999999996</v>
      </c>
      <c r="AA804" s="55">
        <v>0</v>
      </c>
      <c r="AB804" s="55">
        <v>0</v>
      </c>
      <c r="AC804" s="55">
        <v>0</v>
      </c>
      <c r="AD804" s="55">
        <v>0</v>
      </c>
      <c r="AE804" s="55">
        <v>0</v>
      </c>
      <c r="AF804" s="55"/>
      <c r="AG804" s="55">
        <v>0</v>
      </c>
      <c r="AH804" s="55">
        <v>0</v>
      </c>
      <c r="AI804" s="55">
        <v>2818932.6424139999</v>
      </c>
      <c r="AJ804" s="55">
        <v>0</v>
      </c>
      <c r="AK804" s="55">
        <v>0</v>
      </c>
      <c r="AL804" s="55">
        <v>0</v>
      </c>
      <c r="AM804" s="55">
        <v>288057.69900000002</v>
      </c>
      <c r="AN804" s="63">
        <v>32006.411</v>
      </c>
      <c r="AO804" s="64">
        <v>61644.347586000004</v>
      </c>
      <c r="AP804" s="61">
        <f>+N804-'Приложение №2'!E804</f>
        <v>1.5999982133507729E-4</v>
      </c>
      <c r="AQ804" s="1">
        <v>537287.52</v>
      </c>
      <c r="AR804" s="3">
        <f>+(K804*13.29+L804*22.52)*12*0.85</f>
        <v>241754.13719999997</v>
      </c>
      <c r="AS804" s="3">
        <f>+(K804*13.95+L804*23.65)*12*30</f>
        <v>8956234.8000000007</v>
      </c>
      <c r="AT804" s="6">
        <f t="shared" si="205"/>
        <v>-6539912.6100000013</v>
      </c>
      <c r="AU804" s="6" t="e">
        <v>#REF!</v>
      </c>
      <c r="AV804" s="6" t="e">
        <v>#REF!</v>
      </c>
      <c r="AW804" s="62">
        <f t="shared" si="207"/>
        <v>3195363.8498400003</v>
      </c>
      <c r="AX804" s="55">
        <v>0</v>
      </c>
      <c r="AY804" s="55">
        <v>0</v>
      </c>
      <c r="AZ804" s="55">
        <v>0</v>
      </c>
      <c r="BA804" s="55">
        <v>0</v>
      </c>
      <c r="BB804" s="55">
        <v>0</v>
      </c>
      <c r="BC804" s="55"/>
      <c r="BD804" s="55"/>
      <c r="BE804" s="55">
        <v>0</v>
      </c>
      <c r="BF804" s="55">
        <v>3054781.0748700001</v>
      </c>
      <c r="BG804" s="55">
        <v>0</v>
      </c>
      <c r="BH804" s="55">
        <v>0</v>
      </c>
      <c r="BI804" s="55">
        <v>0</v>
      </c>
      <c r="BJ804" s="55"/>
      <c r="BK804" s="63"/>
      <c r="BL804" s="64">
        <v>140582.77497</v>
      </c>
      <c r="BM804" s="62">
        <f t="shared" si="208"/>
        <v>3195363.8498400003</v>
      </c>
      <c r="BN804" s="55">
        <v>0</v>
      </c>
      <c r="BO804" s="55">
        <v>0</v>
      </c>
      <c r="BP804" s="55">
        <v>0</v>
      </c>
      <c r="BQ804" s="55">
        <v>0</v>
      </c>
      <c r="BR804" s="55">
        <v>0</v>
      </c>
      <c r="BS804" s="55"/>
      <c r="BT804" s="55"/>
      <c r="BU804" s="55">
        <v>0</v>
      </c>
      <c r="BV804" s="55">
        <v>3054781.0748700001</v>
      </c>
      <c r="BW804" s="55">
        <v>0</v>
      </c>
      <c r="BX804" s="55">
        <v>0</v>
      </c>
      <c r="BY804" s="55">
        <v>0</v>
      </c>
      <c r="BZ804" s="55"/>
      <c r="CA804" s="63"/>
      <c r="CB804" s="64">
        <v>140582.77497</v>
      </c>
      <c r="CD804" s="75"/>
      <c r="CE804" s="6"/>
    </row>
    <row r="805" spans="1:83" x14ac:dyDescent="0.25">
      <c r="A805" s="105">
        <f t="shared" si="209"/>
        <v>783</v>
      </c>
      <c r="B805" s="106">
        <f t="shared" si="206"/>
        <v>323</v>
      </c>
      <c r="C805" s="107" t="s">
        <v>732</v>
      </c>
      <c r="D805" s="107" t="s">
        <v>733</v>
      </c>
      <c r="E805" s="128">
        <v>1990</v>
      </c>
      <c r="F805" s="128">
        <v>2014</v>
      </c>
      <c r="G805" s="128" t="s">
        <v>64</v>
      </c>
      <c r="H805" s="128">
        <v>5</v>
      </c>
      <c r="I805" s="128">
        <v>2</v>
      </c>
      <c r="J805" s="63">
        <v>2213.5</v>
      </c>
      <c r="K805" s="63">
        <v>2213.5</v>
      </c>
      <c r="L805" s="63">
        <v>0</v>
      </c>
      <c r="M805" s="129">
        <v>93</v>
      </c>
      <c r="N805" s="108">
        <v>6594810.3799999999</v>
      </c>
      <c r="O805" s="63"/>
      <c r="P805" s="63"/>
      <c r="Q805" s="63"/>
      <c r="R805" s="62">
        <v>1203671.26</v>
      </c>
      <c r="S805" s="62">
        <v>5391139.1200000001</v>
      </c>
      <c r="T805" s="63"/>
      <c r="U805" s="63">
        <v>2913.4131905127601</v>
      </c>
      <c r="V805" s="63">
        <v>1410.2830200640001</v>
      </c>
      <c r="W805" s="59">
        <v>2024</v>
      </c>
      <c r="X805" s="6" t="e">
        <v>#REF!</v>
      </c>
      <c r="Z805" s="62">
        <f t="shared" si="210"/>
        <v>7131894.3899999997</v>
      </c>
      <c r="AA805" s="55">
        <v>3861288.84626394</v>
      </c>
      <c r="AB805" s="55">
        <v>2292533.9415640198</v>
      </c>
      <c r="AC805" s="55">
        <v>0</v>
      </c>
      <c r="AD805" s="55">
        <v>0</v>
      </c>
      <c r="AE805" s="55">
        <v>0</v>
      </c>
      <c r="AF805" s="55"/>
      <c r="AG805" s="55">
        <v>157012.13129195999</v>
      </c>
      <c r="AH805" s="55">
        <v>0</v>
      </c>
      <c r="AI805" s="55">
        <v>0</v>
      </c>
      <c r="AJ805" s="55">
        <v>0</v>
      </c>
      <c r="AK805" s="55">
        <v>0</v>
      </c>
      <c r="AL805" s="55">
        <v>0</v>
      </c>
      <c r="AM805" s="55">
        <v>611735.34889999998</v>
      </c>
      <c r="AN805" s="63">
        <v>71318.943899999998</v>
      </c>
      <c r="AO805" s="64">
        <v>138005.17808007999</v>
      </c>
      <c r="AP805" s="61">
        <f>+N805-'Приложение №2'!E805</f>
        <v>4.3640192598104477E-3</v>
      </c>
      <c r="AQ805" s="65">
        <v>966605.41</v>
      </c>
      <c r="AR805" s="3">
        <f>+(K805*10.5+L805*21)*12*0.85</f>
        <v>237065.85</v>
      </c>
      <c r="AS805" s="3">
        <f>+(K805*10.5+L805*21)*12*30</f>
        <v>8367030</v>
      </c>
      <c r="AT805" s="6">
        <f t="shared" si="205"/>
        <v>-2975890.88</v>
      </c>
      <c r="AU805" s="6" t="e">
        <v>#REF!</v>
      </c>
      <c r="AV805" s="6" t="e">
        <v>#REF!</v>
      </c>
      <c r="AW805" s="110">
        <f t="shared" si="207"/>
        <v>6448840.0971999997</v>
      </c>
      <c r="AX805" s="55">
        <v>3861288.84626394</v>
      </c>
      <c r="AY805" s="55">
        <v>2292533.9415640198</v>
      </c>
      <c r="AZ805" s="55">
        <v>0</v>
      </c>
      <c r="BA805" s="55">
        <v>0</v>
      </c>
      <c r="BB805" s="55">
        <v>0</v>
      </c>
      <c r="BC805" s="55"/>
      <c r="BD805" s="55">
        <v>157012.13129195999</v>
      </c>
      <c r="BE805" s="55">
        <v>0</v>
      </c>
      <c r="BF805" s="55">
        <v>0</v>
      </c>
      <c r="BG805" s="55">
        <v>0</v>
      </c>
      <c r="BH805" s="55">
        <v>0</v>
      </c>
      <c r="BI805" s="55">
        <v>0</v>
      </c>
      <c r="BJ805" s="55"/>
      <c r="BK805" s="63"/>
      <c r="BL805" s="64">
        <v>138005.17808007999</v>
      </c>
      <c r="BM805" s="110">
        <f t="shared" si="208"/>
        <v>6448840.0971999997</v>
      </c>
      <c r="BN805" s="55">
        <v>3861288.84626394</v>
      </c>
      <c r="BO805" s="55">
        <v>2292533.9415640198</v>
      </c>
      <c r="BP805" s="55">
        <v>0</v>
      </c>
      <c r="BQ805" s="55">
        <v>0</v>
      </c>
      <c r="BR805" s="55">
        <v>0</v>
      </c>
      <c r="BS805" s="55"/>
      <c r="BT805" s="55">
        <v>157012.13129195999</v>
      </c>
      <c r="BU805" s="55">
        <v>0</v>
      </c>
      <c r="BV805" s="55">
        <v>0</v>
      </c>
      <c r="BW805" s="55">
        <v>0</v>
      </c>
      <c r="BX805" s="55">
        <v>0</v>
      </c>
      <c r="BY805" s="55">
        <v>0</v>
      </c>
      <c r="BZ805" s="55"/>
      <c r="CA805" s="63"/>
      <c r="CB805" s="64">
        <v>138005.17808007999</v>
      </c>
      <c r="CD805" s="75"/>
      <c r="CE805" s="6"/>
    </row>
    <row r="806" spans="1:83" x14ac:dyDescent="0.25">
      <c r="A806" s="105">
        <f t="shared" si="209"/>
        <v>784</v>
      </c>
      <c r="B806" s="106">
        <f t="shared" si="206"/>
        <v>324</v>
      </c>
      <c r="C806" s="53" t="s">
        <v>244</v>
      </c>
      <c r="D806" s="53" t="s">
        <v>245</v>
      </c>
      <c r="E806" s="54">
        <v>1985</v>
      </c>
      <c r="F806" s="54">
        <v>1985</v>
      </c>
      <c r="G806" s="54" t="s">
        <v>64</v>
      </c>
      <c r="H806" s="54">
        <v>5</v>
      </c>
      <c r="I806" s="54">
        <v>4</v>
      </c>
      <c r="J806" s="55">
        <v>4957.5</v>
      </c>
      <c r="K806" s="55">
        <v>4305.3999999999996</v>
      </c>
      <c r="L806" s="55">
        <v>651.20000000000005</v>
      </c>
      <c r="M806" s="56">
        <v>166</v>
      </c>
      <c r="N806" s="112">
        <v>19747257.489999998</v>
      </c>
      <c r="O806" s="55"/>
      <c r="P806" s="63"/>
      <c r="Q806" s="63"/>
      <c r="R806" s="62">
        <v>2600649.54</v>
      </c>
      <c r="S806" s="62">
        <v>17146607.949999999</v>
      </c>
      <c r="T806" s="113"/>
      <c r="U806" s="55">
        <v>3984.0329045448502</v>
      </c>
      <c r="V806" s="55">
        <v>3984.0329045448502</v>
      </c>
      <c r="W806" s="59">
        <v>2024</v>
      </c>
      <c r="X806" s="6" t="e">
        <v>#REF!</v>
      </c>
      <c r="Z806" s="62">
        <f t="shared" si="210"/>
        <v>19423335.669999976</v>
      </c>
      <c r="AA806" s="55">
        <v>12305784.6204766</v>
      </c>
      <c r="AB806" s="55">
        <v>4512564.0806433596</v>
      </c>
      <c r="AC806" s="55">
        <v>0</v>
      </c>
      <c r="AD806" s="55">
        <v>0</v>
      </c>
      <c r="AE806" s="55">
        <v>0</v>
      </c>
      <c r="AF806" s="55"/>
      <c r="AG806" s="55">
        <v>406248.53806488001</v>
      </c>
      <c r="AH806" s="55">
        <v>0</v>
      </c>
      <c r="AI806" s="55">
        <v>0</v>
      </c>
      <c r="AJ806" s="55">
        <v>0</v>
      </c>
      <c r="AK806" s="55">
        <v>0</v>
      </c>
      <c r="AL806" s="55">
        <v>0</v>
      </c>
      <c r="AM806" s="55">
        <v>1627838.0182</v>
      </c>
      <c r="AN806" s="63">
        <v>194233.3567</v>
      </c>
      <c r="AO806" s="64">
        <v>376667.05591514002</v>
      </c>
      <c r="AP806" s="61">
        <f>+N806-'Приложение №2'!E806</f>
        <v>-4.6670027077198029E-3</v>
      </c>
      <c r="AQ806" s="1">
        <v>2028653.94</v>
      </c>
      <c r="AR806" s="3">
        <f>+(K806*10+L806*20)*12*0.85</f>
        <v>571995.6</v>
      </c>
      <c r="AS806" s="3">
        <f>+(K806*10+L806*20)*12*30</f>
        <v>20188080</v>
      </c>
      <c r="AT806" s="6">
        <f t="shared" si="205"/>
        <v>-3041472.0500000007</v>
      </c>
      <c r="AU806" s="6" t="e">
        <v>#REF!</v>
      </c>
      <c r="AV806" s="6" t="e">
        <v>#REF!</v>
      </c>
      <c r="AW806" s="62">
        <f t="shared" si="207"/>
        <v>19747257.494667001</v>
      </c>
      <c r="AX806" s="55">
        <v>13442149.36827</v>
      </c>
      <c r="AY806" s="55">
        <v>4980833.6754120002</v>
      </c>
      <c r="AZ806" s="55">
        <v>0</v>
      </c>
      <c r="BA806" s="55">
        <v>0</v>
      </c>
      <c r="BB806" s="55">
        <v>0</v>
      </c>
      <c r="BC806" s="55"/>
      <c r="BD806" s="55">
        <v>406248.53806488001</v>
      </c>
      <c r="BE806" s="55">
        <v>0</v>
      </c>
      <c r="BF806" s="55"/>
      <c r="BG806" s="55">
        <v>0</v>
      </c>
      <c r="BH806" s="55">
        <v>0</v>
      </c>
      <c r="BI806" s="55">
        <v>0</v>
      </c>
      <c r="BJ806" s="55"/>
      <c r="BK806" s="63"/>
      <c r="BL806" s="111">
        <v>918025.91292012006</v>
      </c>
      <c r="BM806" s="62">
        <f t="shared" si="208"/>
        <v>19747257.494667001</v>
      </c>
      <c r="BN806" s="55">
        <v>13442149.36827</v>
      </c>
      <c r="BO806" s="55">
        <v>4980833.6754120002</v>
      </c>
      <c r="BP806" s="55">
        <v>0</v>
      </c>
      <c r="BQ806" s="55">
        <v>0</v>
      </c>
      <c r="BR806" s="55">
        <v>0</v>
      </c>
      <c r="BS806" s="55"/>
      <c r="BT806" s="55">
        <v>406248.53806488001</v>
      </c>
      <c r="BU806" s="55">
        <v>0</v>
      </c>
      <c r="BV806" s="55"/>
      <c r="BW806" s="55">
        <v>0</v>
      </c>
      <c r="BX806" s="55">
        <v>0</v>
      </c>
      <c r="BY806" s="55">
        <v>0</v>
      </c>
      <c r="BZ806" s="55"/>
      <c r="CA806" s="63"/>
      <c r="CB806" s="64">
        <v>918025.91292012006</v>
      </c>
      <c r="CD806" s="75"/>
      <c r="CE806" s="6"/>
    </row>
    <row r="807" spans="1:83" x14ac:dyDescent="0.25">
      <c r="A807" s="105">
        <f t="shared" si="209"/>
        <v>785</v>
      </c>
      <c r="B807" s="106">
        <f t="shared" si="206"/>
        <v>325</v>
      </c>
      <c r="C807" s="53" t="s">
        <v>244</v>
      </c>
      <c r="D807" s="53" t="s">
        <v>246</v>
      </c>
      <c r="E807" s="54">
        <v>1988</v>
      </c>
      <c r="F807" s="54">
        <v>1988</v>
      </c>
      <c r="G807" s="54" t="s">
        <v>64</v>
      </c>
      <c r="H807" s="54">
        <v>5</v>
      </c>
      <c r="I807" s="54">
        <v>4</v>
      </c>
      <c r="J807" s="55">
        <v>5038.3999999999996</v>
      </c>
      <c r="K807" s="55">
        <v>3442.8</v>
      </c>
      <c r="L807" s="55">
        <v>1586</v>
      </c>
      <c r="M807" s="56">
        <v>156</v>
      </c>
      <c r="N807" s="112">
        <v>24458262.940000001</v>
      </c>
      <c r="O807" s="55"/>
      <c r="P807" s="63"/>
      <c r="Q807" s="63"/>
      <c r="R807" s="62">
        <v>674709.6</v>
      </c>
      <c r="S807" s="62">
        <v>16639730.83</v>
      </c>
      <c r="T807" s="62">
        <v>7143822.5099999998</v>
      </c>
      <c r="U807" s="55">
        <v>4863.6380326519302</v>
      </c>
      <c r="V807" s="55">
        <v>4863.6380326519302</v>
      </c>
      <c r="W807" s="59">
        <v>2024</v>
      </c>
      <c r="X807" s="6" t="e">
        <v>#REF!</v>
      </c>
      <c r="Z807" s="62">
        <f t="shared" si="210"/>
        <v>50851543.909999989</v>
      </c>
      <c r="AA807" s="55">
        <v>12240570.2260023</v>
      </c>
      <c r="AB807" s="55">
        <v>4488649.7915120404</v>
      </c>
      <c r="AC807" s="55">
        <v>4689585.7163009401</v>
      </c>
      <c r="AD807" s="55">
        <v>0</v>
      </c>
      <c r="AE807" s="55">
        <v>0</v>
      </c>
      <c r="AF807" s="55"/>
      <c r="AG807" s="55">
        <v>404095.62569795997</v>
      </c>
      <c r="AH807" s="55">
        <v>0</v>
      </c>
      <c r="AI807" s="55">
        <v>23028460.340860799</v>
      </c>
      <c r="AJ807" s="55">
        <v>0</v>
      </c>
      <c r="AK807" s="55">
        <v>0</v>
      </c>
      <c r="AL807" s="55">
        <v>0</v>
      </c>
      <c r="AM807" s="55">
        <v>4510858.3295</v>
      </c>
      <c r="AN807" s="63">
        <v>508515.43910000002</v>
      </c>
      <c r="AO807" s="64">
        <v>980808.44102596003</v>
      </c>
      <c r="AP807" s="61">
        <f>+N807-'Приложение №2'!E807</f>
        <v>1.4000050723552704E-3</v>
      </c>
      <c r="AQ807" s="6">
        <f>2748459.05-R170</f>
        <v>-128443.95999999996</v>
      </c>
      <c r="AR807" s="3">
        <f>+(K807*10+L807*20)*12*0.85</f>
        <v>674709.6</v>
      </c>
      <c r="AS807" s="3">
        <f>+(K807*10+L807*20)*12*30-S170</f>
        <v>16639730.8258608</v>
      </c>
      <c r="AT807" s="6">
        <f t="shared" si="205"/>
        <v>4.1391998529434204E-3</v>
      </c>
      <c r="AU807" s="6" t="e">
        <v>#REF!</v>
      </c>
      <c r="AV807" s="6" t="e">
        <v>#REF!</v>
      </c>
      <c r="AW807" s="62">
        <f t="shared" si="207"/>
        <v>24458262.938599996</v>
      </c>
      <c r="AX807" s="55">
        <v>13364467.924122</v>
      </c>
      <c r="AY807" s="55">
        <v>4951357.8128279997</v>
      </c>
      <c r="AZ807" s="55">
        <v>5214934.7490659999</v>
      </c>
      <c r="BA807" s="55">
        <v>0</v>
      </c>
      <c r="BB807" s="55">
        <v>0</v>
      </c>
      <c r="BC807" s="55"/>
      <c r="BD807" s="55">
        <v>404095.62569795997</v>
      </c>
      <c r="BE807" s="55">
        <v>0</v>
      </c>
      <c r="BF807" s="55"/>
      <c r="BG807" s="55">
        <v>0</v>
      </c>
      <c r="BH807" s="55">
        <v>0</v>
      </c>
      <c r="BI807" s="55">
        <v>0</v>
      </c>
      <c r="BJ807" s="55"/>
      <c r="BK807" s="63"/>
      <c r="BL807" s="111">
        <v>523406.82688603998</v>
      </c>
      <c r="BM807" s="62">
        <f t="shared" si="208"/>
        <v>24458262.938599996</v>
      </c>
      <c r="BN807" s="55">
        <v>13364467.924122</v>
      </c>
      <c r="BO807" s="55">
        <v>4951357.8128279997</v>
      </c>
      <c r="BP807" s="55">
        <v>5214934.7490659999</v>
      </c>
      <c r="BQ807" s="55">
        <v>0</v>
      </c>
      <c r="BR807" s="55">
        <v>0</v>
      </c>
      <c r="BS807" s="55"/>
      <c r="BT807" s="55">
        <v>404095.62569795997</v>
      </c>
      <c r="BU807" s="55">
        <v>0</v>
      </c>
      <c r="BV807" s="55"/>
      <c r="BW807" s="55">
        <v>0</v>
      </c>
      <c r="BX807" s="55">
        <v>0</v>
      </c>
      <c r="BY807" s="55">
        <v>0</v>
      </c>
      <c r="BZ807" s="55"/>
      <c r="CA807" s="63"/>
      <c r="CB807" s="64">
        <v>523406.82688603998</v>
      </c>
      <c r="CD807" s="75"/>
      <c r="CE807" s="6"/>
    </row>
    <row r="808" spans="1:83" x14ac:dyDescent="0.25">
      <c r="A808" s="105">
        <f t="shared" si="209"/>
        <v>786</v>
      </c>
      <c r="B808" s="106">
        <f t="shared" si="206"/>
        <v>326</v>
      </c>
      <c r="C808" s="107" t="s">
        <v>244</v>
      </c>
      <c r="D808" s="107" t="s">
        <v>734</v>
      </c>
      <c r="E808" s="128">
        <v>1985</v>
      </c>
      <c r="F808" s="128">
        <v>1985</v>
      </c>
      <c r="G808" s="128" t="s">
        <v>64</v>
      </c>
      <c r="H808" s="128">
        <v>5</v>
      </c>
      <c r="I808" s="128">
        <v>1</v>
      </c>
      <c r="J808" s="63">
        <v>3093.6</v>
      </c>
      <c r="K808" s="63">
        <v>1867</v>
      </c>
      <c r="L808" s="63">
        <v>323</v>
      </c>
      <c r="M808" s="129">
        <v>98</v>
      </c>
      <c r="N808" s="108">
        <v>22839745.969999999</v>
      </c>
      <c r="O808" s="63"/>
      <c r="P808" s="62">
        <v>1931757.02</v>
      </c>
      <c r="Q808" s="63"/>
      <c r="R808" s="62">
        <v>269142.3</v>
      </c>
      <c r="S808" s="62">
        <v>9499140</v>
      </c>
      <c r="T808" s="62">
        <v>11139706.65</v>
      </c>
      <c r="U808" s="63">
        <v>11430.4973054944</v>
      </c>
      <c r="V808" s="63">
        <v>1411.2830200640001</v>
      </c>
      <c r="W808" s="59">
        <v>2024</v>
      </c>
      <c r="X808" s="6" t="e">
        <v>#REF!</v>
      </c>
      <c r="Z808" s="62">
        <f t="shared" si="210"/>
        <v>25777981.719999999</v>
      </c>
      <c r="AA808" s="55">
        <v>6939898.4786422197</v>
      </c>
      <c r="AB808" s="55">
        <v>2544879.30231024</v>
      </c>
      <c r="AC808" s="55">
        <v>0</v>
      </c>
      <c r="AD808" s="55">
        <v>0</v>
      </c>
      <c r="AE808" s="55">
        <v>0</v>
      </c>
      <c r="AF808" s="55"/>
      <c r="AG808" s="55">
        <v>229105.55551800001</v>
      </c>
      <c r="AH808" s="55">
        <v>0</v>
      </c>
      <c r="AI808" s="55">
        <v>13056187.2491106</v>
      </c>
      <c r="AJ808" s="55">
        <v>0</v>
      </c>
      <c r="AK808" s="55">
        <v>0</v>
      </c>
      <c r="AL808" s="55">
        <v>0</v>
      </c>
      <c r="AM808" s="55">
        <v>2252195.9907</v>
      </c>
      <c r="AN808" s="63">
        <v>257779.81719999999</v>
      </c>
      <c r="AO808" s="64">
        <v>497935.32651893998</v>
      </c>
      <c r="AP808" s="61">
        <f>+N808-'Приложение №2'!E808</f>
        <v>-7.1578100323677063E-4</v>
      </c>
      <c r="AQ808" s="6">
        <f>1232836.21</f>
        <v>1232836.21</v>
      </c>
      <c r="AR808" s="3">
        <f>+(K808*10.5+L808*21)*12*0.85</f>
        <v>269142.3</v>
      </c>
      <c r="AS808" s="3">
        <f>+(K808*10.5+L808*21)*12*30</f>
        <v>9499140</v>
      </c>
      <c r="AT808" s="6">
        <f t="shared" si="205"/>
        <v>0</v>
      </c>
      <c r="AU808" s="6" t="e">
        <v>#REF!</v>
      </c>
      <c r="AV808" s="6" t="e">
        <v>#REF!</v>
      </c>
      <c r="AW808" s="110">
        <f t="shared" si="207"/>
        <v>21340738.469358001</v>
      </c>
      <c r="AX808" s="55">
        <v>6939898.4786422197</v>
      </c>
      <c r="AY808" s="55"/>
      <c r="AZ808" s="55">
        <v>0</v>
      </c>
      <c r="BA808" s="55">
        <v>0</v>
      </c>
      <c r="BB808" s="55">
        <v>0</v>
      </c>
      <c r="BC808" s="55"/>
      <c r="BD808" s="55">
        <v>229105.55551800001</v>
      </c>
      <c r="BE808" s="55">
        <v>0</v>
      </c>
      <c r="BF808" s="55">
        <v>14014962.836657999</v>
      </c>
      <c r="BG808" s="55">
        <v>0</v>
      </c>
      <c r="BH808" s="55">
        <v>0</v>
      </c>
      <c r="BI808" s="55">
        <v>0</v>
      </c>
      <c r="BJ808" s="55"/>
      <c r="BK808" s="63"/>
      <c r="BL808" s="64">
        <v>156771.59853978001</v>
      </c>
      <c r="BM808" s="110">
        <f t="shared" si="208"/>
        <v>21340738.469358001</v>
      </c>
      <c r="BN808" s="55">
        <v>6939898.4786422197</v>
      </c>
      <c r="BO808" s="55"/>
      <c r="BP808" s="55">
        <v>0</v>
      </c>
      <c r="BQ808" s="55">
        <v>0</v>
      </c>
      <c r="BR808" s="55">
        <v>0</v>
      </c>
      <c r="BS808" s="55"/>
      <c r="BT808" s="55">
        <v>229105.55551800001</v>
      </c>
      <c r="BU808" s="55">
        <v>0</v>
      </c>
      <c r="BV808" s="55">
        <v>14014962.836657999</v>
      </c>
      <c r="BW808" s="55">
        <v>0</v>
      </c>
      <c r="BX808" s="55">
        <v>0</v>
      </c>
      <c r="BY808" s="55">
        <v>0</v>
      </c>
      <c r="BZ808" s="55"/>
      <c r="CA808" s="63"/>
      <c r="CB808" s="64">
        <v>156771.59853978001</v>
      </c>
      <c r="CD808" s="75"/>
      <c r="CE808" s="6"/>
    </row>
    <row r="809" spans="1:83" x14ac:dyDescent="0.25">
      <c r="A809" s="105">
        <f t="shared" si="209"/>
        <v>787</v>
      </c>
      <c r="B809" s="106">
        <f t="shared" si="206"/>
        <v>327</v>
      </c>
      <c r="C809" s="107" t="s">
        <v>244</v>
      </c>
      <c r="D809" s="107" t="s">
        <v>735</v>
      </c>
      <c r="E809" s="128">
        <v>1985</v>
      </c>
      <c r="F809" s="128">
        <v>1985</v>
      </c>
      <c r="G809" s="128" t="s">
        <v>64</v>
      </c>
      <c r="H809" s="128">
        <v>5</v>
      </c>
      <c r="I809" s="128">
        <v>1</v>
      </c>
      <c r="J809" s="63">
        <v>3037</v>
      </c>
      <c r="K809" s="63">
        <v>2290.6999999999998</v>
      </c>
      <c r="L809" s="63">
        <v>275.7</v>
      </c>
      <c r="M809" s="129">
        <v>125</v>
      </c>
      <c r="N809" s="108">
        <v>7269616.2800000003</v>
      </c>
      <c r="O809" s="63"/>
      <c r="P809" s="62">
        <v>1004622.69</v>
      </c>
      <c r="Q809" s="63"/>
      <c r="R809" s="62">
        <v>878823.55</v>
      </c>
      <c r="S809" s="62">
        <v>5049067.25</v>
      </c>
      <c r="T809" s="62">
        <v>337102.79</v>
      </c>
      <c r="U809" s="63">
        <v>3173.5348498275598</v>
      </c>
      <c r="V809" s="63">
        <v>1412.2830200640001</v>
      </c>
      <c r="W809" s="59">
        <v>2024</v>
      </c>
      <c r="X809" s="6" t="e">
        <v>#REF!</v>
      </c>
      <c r="Z809" s="62">
        <f t="shared" si="210"/>
        <v>25580367.880000003</v>
      </c>
      <c r="AA809" s="55">
        <v>6886697.2620973801</v>
      </c>
      <c r="AB809" s="55">
        <v>2525370.28109184</v>
      </c>
      <c r="AC809" s="55">
        <v>0</v>
      </c>
      <c r="AD809" s="55">
        <v>0</v>
      </c>
      <c r="AE809" s="55">
        <v>0</v>
      </c>
      <c r="AF809" s="55"/>
      <c r="AG809" s="55">
        <v>227349.22999992</v>
      </c>
      <c r="AH809" s="55">
        <v>0</v>
      </c>
      <c r="AI809" s="55">
        <v>12956098.599171</v>
      </c>
      <c r="AJ809" s="55">
        <v>0</v>
      </c>
      <c r="AK809" s="55">
        <v>0</v>
      </c>
      <c r="AL809" s="55">
        <v>0</v>
      </c>
      <c r="AM809" s="55">
        <v>2234930.6713</v>
      </c>
      <c r="AN809" s="63">
        <v>255803.67879999999</v>
      </c>
      <c r="AO809" s="64">
        <v>494118.15753986</v>
      </c>
      <c r="AP809" s="61">
        <f>+N809-'Приложение №2'!E809</f>
        <v>-5.0000008195638657E-4</v>
      </c>
      <c r="AQ809" s="1">
        <f>1361227.32-786792.68</f>
        <v>574434.64</v>
      </c>
      <c r="AR809" s="3">
        <f>+(K809*10.5+L809*21)*12*0.85</f>
        <v>304388.90999999997</v>
      </c>
      <c r="AS809" s="3">
        <f>+(K809*10.5+L809*21)*12*30-5694070.75</f>
        <v>5049067.25</v>
      </c>
      <c r="AT809" s="6">
        <f t="shared" si="205"/>
        <v>0</v>
      </c>
      <c r="AU809" s="6" t="e">
        <v>#REF!</v>
      </c>
      <c r="AV809" s="6" t="e">
        <v>#REF!</v>
      </c>
      <c r="AW809" s="110">
        <f t="shared" si="207"/>
        <v>7269616.2805000003</v>
      </c>
      <c r="AX809" s="55">
        <v>6886697.2620973801</v>
      </c>
      <c r="AY809" s="55"/>
      <c r="AZ809" s="55">
        <v>0</v>
      </c>
      <c r="BA809" s="55">
        <v>0</v>
      </c>
      <c r="BB809" s="55">
        <v>0</v>
      </c>
      <c r="BC809" s="55"/>
      <c r="BD809" s="55">
        <v>227349.22999992</v>
      </c>
      <c r="BE809" s="55">
        <v>0</v>
      </c>
      <c r="BF809" s="55"/>
      <c r="BG809" s="55">
        <v>0</v>
      </c>
      <c r="BH809" s="55">
        <v>0</v>
      </c>
      <c r="BI809" s="55">
        <v>0</v>
      </c>
      <c r="BJ809" s="55"/>
      <c r="BK809" s="63"/>
      <c r="BL809" s="64">
        <v>155569.78840270001</v>
      </c>
      <c r="BM809" s="110">
        <f t="shared" si="208"/>
        <v>7269616.2805000003</v>
      </c>
      <c r="BN809" s="55">
        <v>6886697.2620973801</v>
      </c>
      <c r="BO809" s="55"/>
      <c r="BP809" s="55">
        <v>0</v>
      </c>
      <c r="BQ809" s="55">
        <v>0</v>
      </c>
      <c r="BR809" s="55">
        <v>0</v>
      </c>
      <c r="BS809" s="55"/>
      <c r="BT809" s="55">
        <v>227349.22999992</v>
      </c>
      <c r="BU809" s="55">
        <v>0</v>
      </c>
      <c r="BV809" s="55"/>
      <c r="BW809" s="55">
        <v>0</v>
      </c>
      <c r="BX809" s="55">
        <v>0</v>
      </c>
      <c r="BY809" s="55">
        <v>0</v>
      </c>
      <c r="BZ809" s="55"/>
      <c r="CA809" s="63"/>
      <c r="CB809" s="64">
        <v>155569.78840270001</v>
      </c>
      <c r="CD809" s="75"/>
      <c r="CE809" s="6"/>
    </row>
    <row r="810" spans="1:83" x14ac:dyDescent="0.25">
      <c r="A810" s="105">
        <f t="shared" si="209"/>
        <v>788</v>
      </c>
      <c r="B810" s="106">
        <f t="shared" si="206"/>
        <v>328</v>
      </c>
      <c r="C810" s="53" t="s">
        <v>244</v>
      </c>
      <c r="D810" s="53" t="s">
        <v>736</v>
      </c>
      <c r="E810" s="54">
        <v>1987</v>
      </c>
      <c r="F810" s="54">
        <v>1987</v>
      </c>
      <c r="G810" s="54" t="s">
        <v>64</v>
      </c>
      <c r="H810" s="54">
        <v>5</v>
      </c>
      <c r="I810" s="54">
        <v>1</v>
      </c>
      <c r="J810" s="55">
        <v>2928.7</v>
      </c>
      <c r="K810" s="55">
        <v>2372.1</v>
      </c>
      <c r="L810" s="55">
        <v>221.2</v>
      </c>
      <c r="M810" s="56">
        <v>125</v>
      </c>
      <c r="N810" s="112">
        <v>16843607.010000002</v>
      </c>
      <c r="O810" s="55"/>
      <c r="P810" s="62">
        <v>2873309.11</v>
      </c>
      <c r="Q810" s="63"/>
      <c r="R810" s="62">
        <v>287079</v>
      </c>
      <c r="S810" s="62">
        <v>10193261.92</v>
      </c>
      <c r="T810" s="62">
        <v>3489956.98</v>
      </c>
      <c r="U810" s="55">
        <v>4072.6278059615202</v>
      </c>
      <c r="V810" s="55">
        <v>4072.6278059615202</v>
      </c>
      <c r="W810" s="59">
        <v>2024</v>
      </c>
      <c r="X810" s="6" t="e">
        <v>#REF!</v>
      </c>
      <c r="Z810" s="62">
        <f t="shared" si="210"/>
        <v>25208513.879999995</v>
      </c>
      <c r="AA810" s="55">
        <v>6786587.4460183801</v>
      </c>
      <c r="AB810" s="55">
        <v>2488659.7441826402</v>
      </c>
      <c r="AC810" s="55">
        <v>0</v>
      </c>
      <c r="AD810" s="55">
        <v>0</v>
      </c>
      <c r="AE810" s="55">
        <v>0</v>
      </c>
      <c r="AF810" s="55"/>
      <c r="AG810" s="55">
        <v>224044.32360912001</v>
      </c>
      <c r="AH810" s="55">
        <v>0</v>
      </c>
      <c r="AI810" s="55">
        <v>12767759.748387</v>
      </c>
      <c r="AJ810" s="55">
        <v>0</v>
      </c>
      <c r="AK810" s="55">
        <v>0</v>
      </c>
      <c r="AL810" s="55">
        <v>0</v>
      </c>
      <c r="AM810" s="55">
        <v>2202442.1663000002</v>
      </c>
      <c r="AN810" s="63">
        <v>252085.13879999999</v>
      </c>
      <c r="AO810" s="64">
        <v>486935.31270285998</v>
      </c>
      <c r="AP810" s="61" t="e">
        <f>+N810-#REF!</f>
        <v>#REF!</v>
      </c>
      <c r="AQ810" s="6">
        <f>1039812.33</f>
        <v>1039812.33</v>
      </c>
      <c r="AR810" s="3">
        <f>+(K810*10+L810*20)*12*0.85</f>
        <v>287079</v>
      </c>
      <c r="AS810" s="3">
        <f>+(K810*10+L810*20)*12*30</f>
        <v>10132200</v>
      </c>
      <c r="AT810" s="6">
        <f t="shared" si="205"/>
        <v>61061.919999999925</v>
      </c>
      <c r="AU810" s="6" t="e">
        <v>#REF!</v>
      </c>
      <c r="AV810" s="6" t="e">
        <v>#REF!</v>
      </c>
      <c r="AW810" s="62">
        <f t="shared" si="207"/>
        <v>10561545.689199999</v>
      </c>
      <c r="AX810" s="55">
        <v>7387365.7431420004</v>
      </c>
      <c r="AY810" s="55">
        <v>2724118.5447</v>
      </c>
      <c r="AZ810" s="55">
        <v>0</v>
      </c>
      <c r="BA810" s="55">
        <v>0</v>
      </c>
      <c r="BB810" s="55">
        <v>0</v>
      </c>
      <c r="BC810" s="55"/>
      <c r="BD810" s="55">
        <v>224044.32360912001</v>
      </c>
      <c r="BE810" s="55">
        <v>0</v>
      </c>
      <c r="BF810" s="55"/>
      <c r="BG810" s="55">
        <v>0</v>
      </c>
      <c r="BH810" s="55">
        <v>0</v>
      </c>
      <c r="BI810" s="55">
        <v>0</v>
      </c>
      <c r="BJ810" s="55"/>
      <c r="BK810" s="63"/>
      <c r="BL810" s="111">
        <v>226017.07774887999</v>
      </c>
      <c r="BM810" s="62">
        <f t="shared" si="208"/>
        <v>10561545.689199999</v>
      </c>
      <c r="BN810" s="55">
        <v>7387365.7431420004</v>
      </c>
      <c r="BO810" s="55">
        <v>2724118.5447</v>
      </c>
      <c r="BP810" s="55">
        <v>0</v>
      </c>
      <c r="BQ810" s="55">
        <v>0</v>
      </c>
      <c r="BR810" s="55">
        <v>0</v>
      </c>
      <c r="BS810" s="55"/>
      <c r="BT810" s="55">
        <v>224044.32360912001</v>
      </c>
      <c r="BU810" s="55">
        <v>0</v>
      </c>
      <c r="BV810" s="55"/>
      <c r="BW810" s="55">
        <v>0</v>
      </c>
      <c r="BX810" s="55">
        <v>0</v>
      </c>
      <c r="BY810" s="55">
        <v>0</v>
      </c>
      <c r="BZ810" s="55"/>
      <c r="CA810" s="63"/>
      <c r="CB810" s="64">
        <v>226017.07774887999</v>
      </c>
      <c r="CD810" s="75"/>
      <c r="CE810" s="6"/>
    </row>
    <row r="811" spans="1:83" x14ac:dyDescent="0.25">
      <c r="A811" s="105">
        <f t="shared" si="209"/>
        <v>789</v>
      </c>
      <c r="B811" s="106">
        <f t="shared" si="206"/>
        <v>329</v>
      </c>
      <c r="C811" s="107" t="s">
        <v>737</v>
      </c>
      <c r="D811" s="107" t="s">
        <v>738</v>
      </c>
      <c r="E811" s="128" t="s">
        <v>429</v>
      </c>
      <c r="F811" s="128">
        <v>1987</v>
      </c>
      <c r="G811" s="128" t="s">
        <v>64</v>
      </c>
      <c r="H811" s="128">
        <v>5</v>
      </c>
      <c r="I811" s="128">
        <v>5</v>
      </c>
      <c r="J811" s="63">
        <v>5624.44</v>
      </c>
      <c r="K811" s="63">
        <v>5146.5</v>
      </c>
      <c r="L811" s="63">
        <v>235.4</v>
      </c>
      <c r="M811" s="129">
        <v>197</v>
      </c>
      <c r="N811" s="108">
        <v>39105310.520000003</v>
      </c>
      <c r="O811" s="63"/>
      <c r="P811" s="63"/>
      <c r="Q811" s="63"/>
      <c r="R811" s="62">
        <v>751721.57</v>
      </c>
      <c r="S811" s="62">
        <v>26531349.48</v>
      </c>
      <c r="T811" s="62">
        <v>11822239.470000001</v>
      </c>
      <c r="U811" s="63">
        <v>7266.0789897505201</v>
      </c>
      <c r="V811" s="63">
        <v>7266.0789897505201</v>
      </c>
      <c r="W811" s="59">
        <v>2024</v>
      </c>
      <c r="X811" s="6"/>
      <c r="Z811" s="62"/>
      <c r="AA811" s="55"/>
      <c r="AB811" s="55"/>
      <c r="AC811" s="55"/>
      <c r="AD811" s="55"/>
      <c r="AE811" s="55"/>
      <c r="AF811" s="55"/>
      <c r="AG811" s="55"/>
      <c r="AH811" s="55"/>
      <c r="AI811" s="55"/>
      <c r="AJ811" s="55"/>
      <c r="AK811" s="55"/>
      <c r="AL811" s="55"/>
      <c r="AM811" s="55"/>
      <c r="AN811" s="63"/>
      <c r="AO811" s="64"/>
      <c r="AP811" s="61"/>
      <c r="AQ811" s="6">
        <v>4312101.95</v>
      </c>
      <c r="AR811" s="3">
        <f>+(K811*13.29+L811*22.52)*12*0.85</f>
        <v>751721.5686</v>
      </c>
      <c r="AS811" s="3">
        <f>+(K811*13.29+L811*22.52)*12*30</f>
        <v>26531349.48</v>
      </c>
      <c r="AT811" s="6"/>
      <c r="AU811" s="6"/>
      <c r="AV811" s="6"/>
      <c r="AW811" s="62">
        <f t="shared" si="207"/>
        <v>39105310.51493828</v>
      </c>
      <c r="AX811" s="55"/>
      <c r="AY811" s="55"/>
      <c r="AZ811" s="55"/>
      <c r="BA811" s="55"/>
      <c r="BB811" s="55"/>
      <c r="BC811" s="55"/>
      <c r="BD811" s="55"/>
      <c r="BE811" s="55"/>
      <c r="BF811" s="55">
        <v>38268456.8699186</v>
      </c>
      <c r="BG811" s="55"/>
      <c r="BH811" s="55"/>
      <c r="BI811" s="55"/>
      <c r="BJ811" s="55"/>
      <c r="BK811" s="63"/>
      <c r="BL811" s="64">
        <v>836853.64501968003</v>
      </c>
      <c r="BM811" s="62">
        <f t="shared" si="208"/>
        <v>39105310.51493828</v>
      </c>
      <c r="BN811" s="55"/>
      <c r="BO811" s="55"/>
      <c r="BP811" s="55"/>
      <c r="BQ811" s="55"/>
      <c r="BR811" s="55"/>
      <c r="BS811" s="55"/>
      <c r="BT811" s="55"/>
      <c r="BU811" s="55"/>
      <c r="BV811" s="55">
        <v>38268456.8699186</v>
      </c>
      <c r="BW811" s="55"/>
      <c r="BX811" s="55"/>
      <c r="BY811" s="55"/>
      <c r="BZ811" s="55"/>
      <c r="CA811" s="63"/>
      <c r="CB811" s="64">
        <v>836853.64501968003</v>
      </c>
      <c r="CD811" s="75"/>
      <c r="CE811" s="6"/>
    </row>
    <row r="812" spans="1:83" x14ac:dyDescent="0.25">
      <c r="A812" s="105">
        <f t="shared" si="209"/>
        <v>790</v>
      </c>
      <c r="B812" s="106">
        <f t="shared" si="206"/>
        <v>330</v>
      </c>
      <c r="C812" s="107" t="s">
        <v>737</v>
      </c>
      <c r="D812" s="107" t="s">
        <v>739</v>
      </c>
      <c r="E812" s="128">
        <v>2003</v>
      </c>
      <c r="F812" s="128">
        <v>2003</v>
      </c>
      <c r="G812" s="128" t="s">
        <v>64</v>
      </c>
      <c r="H812" s="128">
        <v>6</v>
      </c>
      <c r="I812" s="128">
        <v>2</v>
      </c>
      <c r="J812" s="63">
        <v>4628.5</v>
      </c>
      <c r="K812" s="63">
        <v>3639.6</v>
      </c>
      <c r="L812" s="63">
        <v>0</v>
      </c>
      <c r="M812" s="129">
        <v>142</v>
      </c>
      <c r="N812" s="108">
        <v>22010479.829999998</v>
      </c>
      <c r="O812" s="63"/>
      <c r="P812" s="62">
        <v>886090.96</v>
      </c>
      <c r="Q812" s="63"/>
      <c r="R812" s="62">
        <v>2164436.5499999998</v>
      </c>
      <c r="S812" s="62">
        <v>17413302.239999998</v>
      </c>
      <c r="T812" s="62">
        <v>1546650.08</v>
      </c>
      <c r="U812" s="63">
        <v>6047.4996785361</v>
      </c>
      <c r="V812" s="63">
        <v>6047.4996785361</v>
      </c>
      <c r="W812" s="59">
        <v>2024</v>
      </c>
      <c r="X812" s="6" t="e">
        <v>#REF!</v>
      </c>
      <c r="Z812" s="62">
        <f t="shared" ref="Z812:Z826" si="211">SUM(AA812:AO812)</f>
        <v>22231583.709999997</v>
      </c>
      <c r="AA812" s="55">
        <v>0</v>
      </c>
      <c r="AB812" s="55">
        <v>0</v>
      </c>
      <c r="AC812" s="55">
        <v>0</v>
      </c>
      <c r="AD812" s="55">
        <v>0</v>
      </c>
      <c r="AE812" s="55">
        <v>0</v>
      </c>
      <c r="AF812" s="55"/>
      <c r="AG812" s="55">
        <v>0</v>
      </c>
      <c r="AH812" s="55">
        <v>0</v>
      </c>
      <c r="AI812" s="55">
        <v>19580245.036745399</v>
      </c>
      <c r="AJ812" s="55">
        <v>0</v>
      </c>
      <c r="AK812" s="55">
        <v>0</v>
      </c>
      <c r="AL812" s="55">
        <v>0</v>
      </c>
      <c r="AM812" s="55">
        <v>2000842.5338999999</v>
      </c>
      <c r="AN812" s="63">
        <v>222315.8371</v>
      </c>
      <c r="AO812" s="64">
        <v>428180.30225459998</v>
      </c>
      <c r="AP812" s="61">
        <f>+N812-'Приложение №2'!E812</f>
        <v>0</v>
      </c>
      <c r="AQ812" s="1">
        <v>1671059.65</v>
      </c>
      <c r="AR812" s="3">
        <f>+(K812*13.29+L812*22.52)*12*0.85</f>
        <v>493376.89679999993</v>
      </c>
      <c r="AS812" s="3">
        <f>+(K812*13.29+L812*22.52)*12*30</f>
        <v>17413302.239999998</v>
      </c>
      <c r="AT812" s="6">
        <f t="shared" ref="AT812:AT839" si="212">+S812-AS812</f>
        <v>0</v>
      </c>
      <c r="AU812" s="6" t="e">
        <v>#REF!</v>
      </c>
      <c r="AV812" s="6" t="e">
        <v>#REF!</v>
      </c>
      <c r="AW812" s="62">
        <f t="shared" si="207"/>
        <v>22010479.830000002</v>
      </c>
      <c r="AX812" s="55">
        <v>0</v>
      </c>
      <c r="AY812" s="55">
        <v>0</v>
      </c>
      <c r="AZ812" s="55">
        <v>0</v>
      </c>
      <c r="BA812" s="55">
        <v>0</v>
      </c>
      <c r="BB812" s="55">
        <v>0</v>
      </c>
      <c r="BC812" s="55"/>
      <c r="BD812" s="55"/>
      <c r="BE812" s="55">
        <v>0</v>
      </c>
      <c r="BF812" s="55">
        <v>21539455.561638001</v>
      </c>
      <c r="BG812" s="55">
        <v>0</v>
      </c>
      <c r="BH812" s="55">
        <v>0</v>
      </c>
      <c r="BI812" s="55">
        <v>0</v>
      </c>
      <c r="BJ812" s="55"/>
      <c r="BK812" s="63"/>
      <c r="BL812" s="64">
        <v>471024.268362</v>
      </c>
      <c r="BM812" s="62">
        <f t="shared" si="208"/>
        <v>22010479.830000002</v>
      </c>
      <c r="BN812" s="55">
        <v>0</v>
      </c>
      <c r="BO812" s="55">
        <v>0</v>
      </c>
      <c r="BP812" s="55">
        <v>0</v>
      </c>
      <c r="BQ812" s="55">
        <v>0</v>
      </c>
      <c r="BR812" s="55">
        <v>0</v>
      </c>
      <c r="BS812" s="55"/>
      <c r="BT812" s="55"/>
      <c r="BU812" s="55">
        <v>0</v>
      </c>
      <c r="BV812" s="55">
        <v>21539455.561638001</v>
      </c>
      <c r="BW812" s="55">
        <v>0</v>
      </c>
      <c r="BX812" s="55">
        <v>0</v>
      </c>
      <c r="BY812" s="55">
        <v>0</v>
      </c>
      <c r="BZ812" s="55"/>
      <c r="CA812" s="63"/>
      <c r="CB812" s="64">
        <v>471024.268362</v>
      </c>
      <c r="CD812" s="75"/>
      <c r="CE812" s="6"/>
    </row>
    <row r="813" spans="1:83" x14ac:dyDescent="0.25">
      <c r="A813" s="105">
        <f t="shared" si="209"/>
        <v>791</v>
      </c>
      <c r="B813" s="106">
        <f t="shared" si="206"/>
        <v>331</v>
      </c>
      <c r="C813" s="107" t="s">
        <v>737</v>
      </c>
      <c r="D813" s="107" t="s">
        <v>740</v>
      </c>
      <c r="E813" s="128">
        <v>1995</v>
      </c>
      <c r="F813" s="128">
        <v>2009</v>
      </c>
      <c r="G813" s="128" t="s">
        <v>64</v>
      </c>
      <c r="H813" s="128">
        <v>5</v>
      </c>
      <c r="I813" s="128">
        <v>2</v>
      </c>
      <c r="J813" s="63">
        <v>2134.1999999999998</v>
      </c>
      <c r="K813" s="63">
        <v>1911.8</v>
      </c>
      <c r="L813" s="63">
        <v>0</v>
      </c>
      <c r="M813" s="129">
        <v>75</v>
      </c>
      <c r="N813" s="108">
        <v>12502160.83</v>
      </c>
      <c r="O813" s="63"/>
      <c r="P813" s="62">
        <v>930573.32</v>
      </c>
      <c r="Q813" s="63"/>
      <c r="R813" s="62">
        <v>1062863.97</v>
      </c>
      <c r="S813" s="62">
        <v>6882480</v>
      </c>
      <c r="T813" s="62">
        <v>3626243.54</v>
      </c>
      <c r="U813" s="63">
        <v>6539.4710907754697</v>
      </c>
      <c r="V813" s="63">
        <v>6539.4710907754697</v>
      </c>
      <c r="W813" s="59">
        <v>2024</v>
      </c>
      <c r="X813" s="6" t="e">
        <v>#REF!</v>
      </c>
      <c r="Z813" s="62">
        <f t="shared" si="211"/>
        <v>11647646.459999999</v>
      </c>
      <c r="AA813" s="55">
        <v>0</v>
      </c>
      <c r="AB813" s="55">
        <v>0</v>
      </c>
      <c r="AC813" s="55">
        <v>0</v>
      </c>
      <c r="AD813" s="55">
        <v>0</v>
      </c>
      <c r="AE813" s="55">
        <v>0</v>
      </c>
      <c r="AF813" s="55"/>
      <c r="AG813" s="55">
        <v>0</v>
      </c>
      <c r="AH813" s="55">
        <v>0</v>
      </c>
      <c r="AI813" s="55">
        <v>10258548.1431804</v>
      </c>
      <c r="AJ813" s="55">
        <v>0</v>
      </c>
      <c r="AK813" s="55">
        <v>0</v>
      </c>
      <c r="AL813" s="55">
        <v>0</v>
      </c>
      <c r="AM813" s="55">
        <v>1048288.1814</v>
      </c>
      <c r="AN813" s="63">
        <v>116476.46460000001</v>
      </c>
      <c r="AO813" s="64">
        <v>224333.6708196</v>
      </c>
      <c r="AP813" s="61">
        <f>+N813-'Приложение №2'!E813</f>
        <v>-1.3445727527141571E-3</v>
      </c>
      <c r="AQ813" s="1">
        <v>867860.37</v>
      </c>
      <c r="AR813" s="3">
        <f t="shared" ref="AR813:AR826" si="213">+(K813*10+L813*20)*12*0.85</f>
        <v>195003.6</v>
      </c>
      <c r="AS813" s="3">
        <f>+(K813*10+L813*20)*12*30</f>
        <v>6882480</v>
      </c>
      <c r="AT813" s="6">
        <f t="shared" si="212"/>
        <v>0</v>
      </c>
      <c r="AU813" s="6" t="e">
        <v>#REF!</v>
      </c>
      <c r="AV813" s="6" t="e">
        <v>#REF!</v>
      </c>
      <c r="AW813" s="62">
        <f t="shared" si="207"/>
        <v>12502160.831344573</v>
      </c>
      <c r="AX813" s="55">
        <v>0</v>
      </c>
      <c r="AY813" s="55">
        <v>0</v>
      </c>
      <c r="AZ813" s="55">
        <v>0</v>
      </c>
      <c r="BA813" s="55">
        <v>0</v>
      </c>
      <c r="BB813" s="55">
        <v>0</v>
      </c>
      <c r="BC813" s="55"/>
      <c r="BD813" s="55"/>
      <c r="BE813" s="55">
        <v>0</v>
      </c>
      <c r="BF813" s="55">
        <v>12234614.589553799</v>
      </c>
      <c r="BG813" s="55">
        <v>0</v>
      </c>
      <c r="BH813" s="55">
        <v>0</v>
      </c>
      <c r="BI813" s="55">
        <v>0</v>
      </c>
      <c r="BJ813" s="55"/>
      <c r="BK813" s="63"/>
      <c r="BL813" s="64">
        <v>267546.241790773</v>
      </c>
      <c r="BM813" s="62">
        <f t="shared" si="208"/>
        <v>12502160.831344573</v>
      </c>
      <c r="BN813" s="55">
        <v>0</v>
      </c>
      <c r="BO813" s="55">
        <v>0</v>
      </c>
      <c r="BP813" s="55">
        <v>0</v>
      </c>
      <c r="BQ813" s="55">
        <v>0</v>
      </c>
      <c r="BR813" s="55">
        <v>0</v>
      </c>
      <c r="BS813" s="55"/>
      <c r="BT813" s="55"/>
      <c r="BU813" s="55">
        <v>0</v>
      </c>
      <c r="BV813" s="55">
        <v>12234614.589553799</v>
      </c>
      <c r="BW813" s="55">
        <v>0</v>
      </c>
      <c r="BX813" s="55">
        <v>0</v>
      </c>
      <c r="BY813" s="55">
        <v>0</v>
      </c>
      <c r="BZ813" s="55"/>
      <c r="CA813" s="63"/>
      <c r="CB813" s="64">
        <v>267546.241790773</v>
      </c>
      <c r="CD813" s="75"/>
      <c r="CE813" s="6"/>
    </row>
    <row r="814" spans="1:83" x14ac:dyDescent="0.25">
      <c r="A814" s="105">
        <f t="shared" si="209"/>
        <v>792</v>
      </c>
      <c r="B814" s="106">
        <f t="shared" si="206"/>
        <v>332</v>
      </c>
      <c r="C814" s="107" t="s">
        <v>250</v>
      </c>
      <c r="D814" s="107" t="s">
        <v>251</v>
      </c>
      <c r="E814" s="128">
        <v>1982</v>
      </c>
      <c r="F814" s="128">
        <v>1982</v>
      </c>
      <c r="G814" s="128" t="s">
        <v>64</v>
      </c>
      <c r="H814" s="128">
        <v>5</v>
      </c>
      <c r="I814" s="128">
        <v>1</v>
      </c>
      <c r="J814" s="63">
        <v>982.9</v>
      </c>
      <c r="K814" s="63">
        <v>982.9</v>
      </c>
      <c r="L814" s="63">
        <v>0</v>
      </c>
      <c r="M814" s="129">
        <v>23</v>
      </c>
      <c r="N814" s="108">
        <v>1263037.97</v>
      </c>
      <c r="O814" s="63"/>
      <c r="P814" s="63"/>
      <c r="Q814" s="63"/>
      <c r="R814" s="63"/>
      <c r="S814" s="62">
        <v>1263037.97</v>
      </c>
      <c r="T814" s="63"/>
      <c r="U814" s="63">
        <v>1864.73306517836</v>
      </c>
      <c r="V814" s="63">
        <v>1864.73306517836</v>
      </c>
      <c r="W814" s="59">
        <v>2024</v>
      </c>
      <c r="X814" s="6" t="e">
        <v>#REF!</v>
      </c>
      <c r="Z814" s="62">
        <f t="shared" si="211"/>
        <v>25846647.639999997</v>
      </c>
      <c r="AA814" s="55">
        <v>3015626.05896552</v>
      </c>
      <c r="AB814" s="55">
        <v>1381996.98965328</v>
      </c>
      <c r="AC814" s="55">
        <v>1398423.8962755599</v>
      </c>
      <c r="AD814" s="55">
        <v>910108.47884879995</v>
      </c>
      <c r="AE814" s="55">
        <v>0</v>
      </c>
      <c r="AF814" s="55"/>
      <c r="AG814" s="55">
        <v>91642.682540640002</v>
      </c>
      <c r="AH814" s="55">
        <v>0</v>
      </c>
      <c r="AI814" s="55">
        <v>7209302.2726031998</v>
      </c>
      <c r="AJ814" s="55">
        <v>0</v>
      </c>
      <c r="AK814" s="55">
        <v>3664064.33732724</v>
      </c>
      <c r="AL814" s="55">
        <v>4963125.4813509602</v>
      </c>
      <c r="AM814" s="55">
        <v>2458924.8816</v>
      </c>
      <c r="AN814" s="63">
        <v>258466.47640000001</v>
      </c>
      <c r="AO814" s="64">
        <v>494966.08443480002</v>
      </c>
      <c r="AP814" s="61">
        <f>+N814-'Приложение №2'!E814</f>
        <v>2.3618759587407112E-4</v>
      </c>
      <c r="AQ814" s="6">
        <f>344430.27-R173</f>
        <v>34340.72000000003</v>
      </c>
      <c r="AR814" s="3">
        <f t="shared" si="213"/>
        <v>100255.8</v>
      </c>
      <c r="AS814" s="3">
        <f>+(K814*10+L814*20)*12*30-S173</f>
        <v>6523.4402361898683</v>
      </c>
      <c r="AT814" s="6">
        <f t="shared" si="212"/>
        <v>1256514.5297638101</v>
      </c>
      <c r="AU814" s="6" t="e">
        <v>#REF!</v>
      </c>
      <c r="AV814" s="6" t="e">
        <v>#REF!</v>
      </c>
      <c r="AW814" s="62">
        <f t="shared" si="207"/>
        <v>1832846.1297638123</v>
      </c>
      <c r="AX814" s="55"/>
      <c r="AY814" s="55">
        <v>880894.3</v>
      </c>
      <c r="AZ814" s="55">
        <v>292852.17</v>
      </c>
      <c r="BA814" s="55">
        <v>569808.16</v>
      </c>
      <c r="BB814" s="55">
        <v>0</v>
      </c>
      <c r="BC814" s="55"/>
      <c r="BD814" s="55"/>
      <c r="BE814" s="55">
        <v>0</v>
      </c>
      <c r="BG814" s="55"/>
      <c r="BH814" s="55"/>
      <c r="BI814" s="55"/>
      <c r="BJ814" s="55"/>
      <c r="BK814" s="63"/>
      <c r="BL814" s="64">
        <v>89291.499763812506</v>
      </c>
      <c r="BM814" s="62">
        <f t="shared" si="208"/>
        <v>1832846.1297638123</v>
      </c>
      <c r="BN814" s="55"/>
      <c r="BO814" s="55">
        <v>880894.3</v>
      </c>
      <c r="BP814" s="55">
        <v>292852.17</v>
      </c>
      <c r="BQ814" s="55">
        <v>569808.16</v>
      </c>
      <c r="BR814" s="55">
        <v>0</v>
      </c>
      <c r="BS814" s="55"/>
      <c r="BT814" s="55"/>
      <c r="BU814" s="55">
        <v>0</v>
      </c>
      <c r="BW814" s="55"/>
      <c r="BX814" s="55"/>
      <c r="BY814" s="55"/>
      <c r="BZ814" s="55"/>
      <c r="CA814" s="63"/>
      <c r="CB814" s="64">
        <v>89291.499763812506</v>
      </c>
      <c r="CD814" s="75"/>
      <c r="CE814" s="6"/>
    </row>
    <row r="815" spans="1:83" x14ac:dyDescent="0.25">
      <c r="A815" s="105">
        <f t="shared" si="209"/>
        <v>793</v>
      </c>
      <c r="B815" s="106">
        <f t="shared" si="206"/>
        <v>333</v>
      </c>
      <c r="C815" s="107" t="s">
        <v>250</v>
      </c>
      <c r="D815" s="107" t="s">
        <v>252</v>
      </c>
      <c r="E815" s="128">
        <v>1979</v>
      </c>
      <c r="F815" s="128">
        <v>2013</v>
      </c>
      <c r="G815" s="128" t="s">
        <v>64</v>
      </c>
      <c r="H815" s="128">
        <v>4</v>
      </c>
      <c r="I815" s="128">
        <v>2</v>
      </c>
      <c r="J815" s="63">
        <v>1304.3</v>
      </c>
      <c r="K815" s="63">
        <v>1304.3</v>
      </c>
      <c r="L815" s="63">
        <v>0</v>
      </c>
      <c r="M815" s="129">
        <v>47</v>
      </c>
      <c r="N815" s="108">
        <v>2360734.5699999998</v>
      </c>
      <c r="O815" s="63"/>
      <c r="P815" s="63"/>
      <c r="Q815" s="63"/>
      <c r="R815" s="62">
        <v>133038.6</v>
      </c>
      <c r="S815" s="62">
        <v>2227695.9700000002</v>
      </c>
      <c r="T815" s="63"/>
      <c r="U815" s="63">
        <v>6159.9478384599497</v>
      </c>
      <c r="V815" s="63">
        <v>6159.9478384599497</v>
      </c>
      <c r="W815" s="59">
        <v>2024</v>
      </c>
      <c r="X815" s="6" t="e">
        <v>#REF!</v>
      </c>
      <c r="Z815" s="62">
        <f t="shared" si="211"/>
        <v>28614187.700000003</v>
      </c>
      <c r="AA815" s="55">
        <v>0</v>
      </c>
      <c r="AB815" s="55">
        <v>0</v>
      </c>
      <c r="AC815" s="55">
        <v>1925825.0481519001</v>
      </c>
      <c r="AD815" s="55">
        <v>1253346.5063616</v>
      </c>
      <c r="AE815" s="55">
        <v>0</v>
      </c>
      <c r="AF815" s="55"/>
      <c r="AG815" s="55">
        <v>0</v>
      </c>
      <c r="AH815" s="55">
        <v>0</v>
      </c>
      <c r="AI815" s="55">
        <v>9928216.292715</v>
      </c>
      <c r="AJ815" s="55">
        <v>0</v>
      </c>
      <c r="AK815" s="55">
        <v>5045928.4281096598</v>
      </c>
      <c r="AL815" s="55">
        <v>6834917.0833343398</v>
      </c>
      <c r="AM815" s="55">
        <v>2793370.4105000002</v>
      </c>
      <c r="AN815" s="63">
        <v>286141.87699999998</v>
      </c>
      <c r="AO815" s="64">
        <v>546442.05382749997</v>
      </c>
      <c r="AP815" s="61">
        <f>+N815-'Приложение №2'!E815</f>
        <v>2.7127997018396854E-3</v>
      </c>
      <c r="AQ815" s="6">
        <f>505122.22</f>
        <v>505122.22</v>
      </c>
      <c r="AR815" s="3">
        <f t="shared" si="213"/>
        <v>133038.6</v>
      </c>
      <c r="AS815" s="3">
        <f>+(K815*10+L815*20)*12*30</f>
        <v>4695480</v>
      </c>
      <c r="AT815" s="6">
        <f t="shared" si="212"/>
        <v>-2467784.0299999998</v>
      </c>
      <c r="AU815" s="6" t="e">
        <v>#REF!</v>
      </c>
      <c r="AV815" s="6" t="e">
        <v>#REF!</v>
      </c>
      <c r="AW815" s="62">
        <f t="shared" si="207"/>
        <v>8034419.9657033095</v>
      </c>
      <c r="AX815" s="55">
        <v>0</v>
      </c>
      <c r="AY815" s="55">
        <v>0</v>
      </c>
      <c r="AZ815" s="55">
        <v>2128126.3097030199</v>
      </c>
      <c r="BA815" s="55"/>
      <c r="BB815" s="55"/>
      <c r="BC815" s="55"/>
      <c r="BD815" s="55"/>
      <c r="BE815" s="55"/>
      <c r="BF815" s="55"/>
      <c r="BG815" s="55"/>
      <c r="BH815" s="55"/>
      <c r="BI815" s="55">
        <v>5673685.3984161103</v>
      </c>
      <c r="BJ815" s="55"/>
      <c r="BK815" s="63"/>
      <c r="BL815" s="64">
        <v>232608.25758418001</v>
      </c>
      <c r="BM815" s="62">
        <f t="shared" si="208"/>
        <v>8034419.9657033095</v>
      </c>
      <c r="BN815" s="55">
        <v>0</v>
      </c>
      <c r="BO815" s="55">
        <v>0</v>
      </c>
      <c r="BP815" s="55">
        <v>2128126.3097030199</v>
      </c>
      <c r="BQ815" s="55"/>
      <c r="BR815" s="55"/>
      <c r="BS815" s="55"/>
      <c r="BT815" s="55"/>
      <c r="BU815" s="55"/>
      <c r="BV815" s="55"/>
      <c r="BW815" s="55"/>
      <c r="BX815" s="55"/>
      <c r="BY815" s="55">
        <v>5673685.3984161103</v>
      </c>
      <c r="BZ815" s="55"/>
      <c r="CA815" s="63"/>
      <c r="CB815" s="64">
        <v>232608.25758418001</v>
      </c>
      <c r="CD815" s="75"/>
      <c r="CE815" s="6"/>
    </row>
    <row r="816" spans="1:83" x14ac:dyDescent="0.25">
      <c r="A816" s="105">
        <f t="shared" si="209"/>
        <v>794</v>
      </c>
      <c r="B816" s="106">
        <f t="shared" si="206"/>
        <v>334</v>
      </c>
      <c r="C816" s="107" t="s">
        <v>250</v>
      </c>
      <c r="D816" s="107" t="s">
        <v>498</v>
      </c>
      <c r="E816" s="128">
        <v>1975</v>
      </c>
      <c r="F816" s="128">
        <v>2010</v>
      </c>
      <c r="G816" s="128" t="s">
        <v>64</v>
      </c>
      <c r="H816" s="128">
        <v>4</v>
      </c>
      <c r="I816" s="128">
        <v>2</v>
      </c>
      <c r="J816" s="63">
        <v>1415.4</v>
      </c>
      <c r="K816" s="63">
        <v>1415.4</v>
      </c>
      <c r="L816" s="63">
        <v>0</v>
      </c>
      <c r="M816" s="129">
        <v>39</v>
      </c>
      <c r="N816" s="108">
        <v>2623439.2599999998</v>
      </c>
      <c r="O816" s="63"/>
      <c r="P816" s="63"/>
      <c r="Q816" s="63"/>
      <c r="R816" s="62">
        <v>231788.24</v>
      </c>
      <c r="S816" s="62">
        <v>2391651.02</v>
      </c>
      <c r="T816" s="63"/>
      <c r="U816" s="63">
        <v>6431.0933063492503</v>
      </c>
      <c r="V816" s="63">
        <v>6431.0933063492503</v>
      </c>
      <c r="W816" s="59">
        <v>2024</v>
      </c>
      <c r="X816" s="6" t="e">
        <v>#REF!</v>
      </c>
      <c r="Z816" s="62">
        <f t="shared" si="211"/>
        <v>29462353.34</v>
      </c>
      <c r="AA816" s="55">
        <v>0</v>
      </c>
      <c r="AB816" s="55">
        <v>0</v>
      </c>
      <c r="AC816" s="55">
        <v>1982909.2719916201</v>
      </c>
      <c r="AD816" s="55">
        <v>1290497.4993876</v>
      </c>
      <c r="AE816" s="55">
        <v>0</v>
      </c>
      <c r="AF816" s="55"/>
      <c r="AG816" s="55">
        <v>0</v>
      </c>
      <c r="AH816" s="55">
        <v>0</v>
      </c>
      <c r="AI816" s="55">
        <v>10222502.889866401</v>
      </c>
      <c r="AJ816" s="55">
        <v>0</v>
      </c>
      <c r="AK816" s="55">
        <v>5195496.9927289803</v>
      </c>
      <c r="AL816" s="55">
        <v>7037513.8477249201</v>
      </c>
      <c r="AM816" s="55">
        <v>2876169.9234000002</v>
      </c>
      <c r="AN816" s="63">
        <v>294623.53340000001</v>
      </c>
      <c r="AO816" s="64">
        <v>562639.38150048</v>
      </c>
      <c r="AP816" s="61">
        <f>+N816-'Приложение №2'!E816</f>
        <v>3.3444254659116268E-3</v>
      </c>
      <c r="AQ816" s="1">
        <f>559628.74-472211.3</f>
        <v>87417.44</v>
      </c>
      <c r="AR816" s="3">
        <f t="shared" si="213"/>
        <v>144370.79999999999</v>
      </c>
      <c r="AS816" s="3">
        <f>+(K816*10+L816*20)*12*30-628714.2721</f>
        <v>4466725.7279000003</v>
      </c>
      <c r="AT816" s="6">
        <f t="shared" si="212"/>
        <v>-2075074.7079000003</v>
      </c>
      <c r="AU816" s="6" t="e">
        <v>#REF!</v>
      </c>
      <c r="AV816" s="6" t="e">
        <v>#REF!</v>
      </c>
      <c r="AW816" s="62">
        <f t="shared" si="207"/>
        <v>9102569.4658067245</v>
      </c>
      <c r="AX816" s="55">
        <v>0</v>
      </c>
      <c r="AY816" s="55">
        <v>0</v>
      </c>
      <c r="AZ816" s="55">
        <v>2428644.2700873101</v>
      </c>
      <c r="BA816" s="55">
        <v>0</v>
      </c>
      <c r="BB816" s="55">
        <v>0</v>
      </c>
      <c r="BC816" s="55"/>
      <c r="BD816" s="55">
        <v>0</v>
      </c>
      <c r="BE816" s="55">
        <v>0</v>
      </c>
      <c r="BF816" s="55">
        <v>0</v>
      </c>
      <c r="BG816" s="55">
        <v>0</v>
      </c>
      <c r="BH816" s="55">
        <v>0</v>
      </c>
      <c r="BI816" s="55">
        <v>6479130.2091511497</v>
      </c>
      <c r="BJ816" s="55"/>
      <c r="BK816" s="63"/>
      <c r="BL816" s="64">
        <v>194794.98656826399</v>
      </c>
      <c r="BM816" s="62">
        <f t="shared" si="208"/>
        <v>9102569.4658067245</v>
      </c>
      <c r="BN816" s="55">
        <v>0</v>
      </c>
      <c r="BO816" s="55">
        <v>0</v>
      </c>
      <c r="BP816" s="55">
        <v>2428644.2700873101</v>
      </c>
      <c r="BQ816" s="55">
        <v>0</v>
      </c>
      <c r="BR816" s="55">
        <v>0</v>
      </c>
      <c r="BS816" s="55"/>
      <c r="BT816" s="55">
        <v>0</v>
      </c>
      <c r="BU816" s="55">
        <v>0</v>
      </c>
      <c r="BV816" s="55">
        <v>0</v>
      </c>
      <c r="BW816" s="55">
        <v>0</v>
      </c>
      <c r="BX816" s="55">
        <v>0</v>
      </c>
      <c r="BY816" s="55">
        <v>6479130.2091511497</v>
      </c>
      <c r="BZ816" s="55"/>
      <c r="CA816" s="63"/>
      <c r="CB816" s="64">
        <v>194794.98656826399</v>
      </c>
      <c r="CD816" s="75"/>
      <c r="CE816" s="6"/>
    </row>
    <row r="817" spans="1:84" x14ac:dyDescent="0.25">
      <c r="A817" s="105">
        <f t="shared" si="209"/>
        <v>795</v>
      </c>
      <c r="B817" s="106">
        <f t="shared" si="206"/>
        <v>335</v>
      </c>
      <c r="C817" s="107" t="s">
        <v>250</v>
      </c>
      <c r="D817" s="107" t="s">
        <v>499</v>
      </c>
      <c r="E817" s="128">
        <v>1979</v>
      </c>
      <c r="F817" s="128">
        <v>1979</v>
      </c>
      <c r="G817" s="128" t="s">
        <v>64</v>
      </c>
      <c r="H817" s="128">
        <v>4</v>
      </c>
      <c r="I817" s="128">
        <v>2</v>
      </c>
      <c r="J817" s="63">
        <v>1251.7</v>
      </c>
      <c r="K817" s="63">
        <v>1251.7</v>
      </c>
      <c r="L817" s="63">
        <v>0</v>
      </c>
      <c r="M817" s="129">
        <v>44</v>
      </c>
      <c r="N817" s="108">
        <v>3643336.83</v>
      </c>
      <c r="O817" s="63"/>
      <c r="P817" s="63"/>
      <c r="Q817" s="63"/>
      <c r="R817" s="62">
        <v>127673.4</v>
      </c>
      <c r="S817" s="62">
        <v>3515663.43</v>
      </c>
      <c r="T817" s="63"/>
      <c r="U817" s="63">
        <v>7740.1983369618401</v>
      </c>
      <c r="V817" s="63">
        <v>7740.1983369618401</v>
      </c>
      <c r="W817" s="59">
        <v>2024</v>
      </c>
      <c r="X817" s="6" t="e">
        <v>#REF!</v>
      </c>
      <c r="Z817" s="62">
        <f t="shared" si="211"/>
        <v>10704920.850000001</v>
      </c>
      <c r="AA817" s="55">
        <v>4162366.3452462</v>
      </c>
      <c r="AB817" s="55">
        <v>1907523.5611068001</v>
      </c>
      <c r="AC817" s="55">
        <v>1930197.0630411</v>
      </c>
      <c r="AD817" s="55">
        <v>1256191.858278</v>
      </c>
      <c r="AE817" s="55">
        <v>0</v>
      </c>
      <c r="AF817" s="55"/>
      <c r="AG817" s="55">
        <v>126491.2857684</v>
      </c>
      <c r="AH817" s="55">
        <v>0</v>
      </c>
      <c r="AI817" s="55"/>
      <c r="AJ817" s="55">
        <v>0</v>
      </c>
      <c r="AK817" s="55"/>
      <c r="AL817" s="55"/>
      <c r="AM817" s="55">
        <v>1009919.349</v>
      </c>
      <c r="AN817" s="63">
        <v>107049.20849999999</v>
      </c>
      <c r="AO817" s="64">
        <v>205182.17905949999</v>
      </c>
      <c r="AP817" s="61">
        <f>+N817-'Приложение №2'!E817</f>
        <v>1.6248621977865696E-3</v>
      </c>
      <c r="AQ817" s="6">
        <f>438075.68</f>
        <v>438075.68</v>
      </c>
      <c r="AR817" s="3">
        <f t="shared" si="213"/>
        <v>127673.4</v>
      </c>
      <c r="AS817" s="3">
        <f>+(K817*10+L817*20)*12*30-1289981.92</f>
        <v>3216138.08</v>
      </c>
      <c r="AT817" s="6">
        <f t="shared" si="212"/>
        <v>299525.35000000009</v>
      </c>
      <c r="AU817" s="6" t="e">
        <v>#REF!</v>
      </c>
      <c r="AV817" s="6" t="e">
        <v>#REF!</v>
      </c>
      <c r="AW817" s="62">
        <f t="shared" si="207"/>
        <v>9688406.258375138</v>
      </c>
      <c r="AX817" s="55">
        <v>1130532.8799999999</v>
      </c>
      <c r="AY817" s="55">
        <v>322661.12</v>
      </c>
      <c r="AZ817" s="55">
        <v>2032941.39</v>
      </c>
      <c r="BA817" s="55">
        <v>361992.49</v>
      </c>
      <c r="BB817" s="55">
        <v>0</v>
      </c>
      <c r="BC817" s="55"/>
      <c r="BD817" s="55"/>
      <c r="BE817" s="55">
        <v>0</v>
      </c>
      <c r="BF817" s="55">
        <v>0</v>
      </c>
      <c r="BG817" s="55">
        <v>0</v>
      </c>
      <c r="BH817" s="55">
        <v>0</v>
      </c>
      <c r="BI817" s="55">
        <v>5683076.9400000004</v>
      </c>
      <c r="BJ817" s="55"/>
      <c r="BK817" s="63"/>
      <c r="BL817" s="64">
        <v>157201.43837513801</v>
      </c>
      <c r="BM817" s="62">
        <f t="shared" si="208"/>
        <v>9688406.258375138</v>
      </c>
      <c r="BN817" s="55">
        <v>1130532.8799999999</v>
      </c>
      <c r="BO817" s="55">
        <v>322661.12</v>
      </c>
      <c r="BP817" s="55">
        <v>2032941.39</v>
      </c>
      <c r="BQ817" s="55">
        <v>361992.49</v>
      </c>
      <c r="BR817" s="55">
        <v>0</v>
      </c>
      <c r="BS817" s="55"/>
      <c r="BT817" s="55"/>
      <c r="BU817" s="55">
        <v>0</v>
      </c>
      <c r="BV817" s="55">
        <v>0</v>
      </c>
      <c r="BW817" s="55">
        <v>0</v>
      </c>
      <c r="BX817" s="55">
        <v>0</v>
      </c>
      <c r="BY817" s="55">
        <v>5683076.9400000004</v>
      </c>
      <c r="BZ817" s="55"/>
      <c r="CA817" s="63"/>
      <c r="CB817" s="64">
        <v>157201.43837513801</v>
      </c>
      <c r="CD817" s="75"/>
      <c r="CE817" s="6"/>
    </row>
    <row r="818" spans="1:84" x14ac:dyDescent="0.25">
      <c r="A818" s="105">
        <f t="shared" si="209"/>
        <v>796</v>
      </c>
      <c r="B818" s="106">
        <f t="shared" si="206"/>
        <v>336</v>
      </c>
      <c r="C818" s="107" t="s">
        <v>250</v>
      </c>
      <c r="D818" s="107" t="s">
        <v>253</v>
      </c>
      <c r="E818" s="128">
        <v>1989</v>
      </c>
      <c r="F818" s="128">
        <v>2013</v>
      </c>
      <c r="G818" s="128" t="s">
        <v>64</v>
      </c>
      <c r="H818" s="128">
        <v>5</v>
      </c>
      <c r="I818" s="128">
        <v>3</v>
      </c>
      <c r="J818" s="63">
        <v>2867.1</v>
      </c>
      <c r="K818" s="63">
        <v>2862</v>
      </c>
      <c r="L818" s="63">
        <v>0</v>
      </c>
      <c r="M818" s="129">
        <v>82</v>
      </c>
      <c r="N818" s="108">
        <v>3913860.74</v>
      </c>
      <c r="O818" s="63"/>
      <c r="P818" s="63"/>
      <c r="Q818" s="63"/>
      <c r="R818" s="62">
        <v>1145854.1599999999</v>
      </c>
      <c r="S818" s="62">
        <v>2768006.58</v>
      </c>
      <c r="T818" s="63"/>
      <c r="U818" s="63">
        <v>2696.6219328372999</v>
      </c>
      <c r="V818" s="63">
        <v>2696.6219328372999</v>
      </c>
      <c r="W818" s="59">
        <v>2024</v>
      </c>
      <c r="X818" s="6" t="e">
        <v>#REF!</v>
      </c>
      <c r="Z818" s="62">
        <f t="shared" si="211"/>
        <v>8541004.8900000006</v>
      </c>
      <c r="AA818" s="55">
        <v>0</v>
      </c>
      <c r="AB818" s="55">
        <v>0</v>
      </c>
      <c r="AC818" s="55">
        <v>4445034.5403198004</v>
      </c>
      <c r="AD818" s="55">
        <v>2892873.6360392398</v>
      </c>
      <c r="AE818" s="55">
        <v>0</v>
      </c>
      <c r="AF818" s="55"/>
      <c r="AG818" s="55">
        <v>0</v>
      </c>
      <c r="AH818" s="55">
        <v>0</v>
      </c>
      <c r="AI818" s="55">
        <v>0</v>
      </c>
      <c r="AJ818" s="55">
        <v>0</v>
      </c>
      <c r="AK818" s="55">
        <v>0</v>
      </c>
      <c r="AL818" s="55">
        <v>0</v>
      </c>
      <c r="AM818" s="55">
        <v>957221.47470000002</v>
      </c>
      <c r="AN818" s="63">
        <v>85410.048899999994</v>
      </c>
      <c r="AO818" s="64">
        <v>160465.19004096001</v>
      </c>
      <c r="AP818" s="61">
        <f>+N818-'Приложение №2'!E818</f>
        <v>-1.7803600057959557E-3</v>
      </c>
      <c r="AQ818" s="1">
        <v>853930.16</v>
      </c>
      <c r="AR818" s="3">
        <f t="shared" si="213"/>
        <v>291924</v>
      </c>
      <c r="AS818" s="3">
        <f>+(K818*10+L818*20)*12*30</f>
        <v>10303200</v>
      </c>
      <c r="AT818" s="6">
        <f t="shared" si="212"/>
        <v>-7535193.4199999999</v>
      </c>
      <c r="AU818" s="6" t="e">
        <v>#REF!</v>
      </c>
      <c r="AV818" s="6" t="e">
        <v>#REF!</v>
      </c>
      <c r="AW818" s="62">
        <f t="shared" si="207"/>
        <v>7717731.9717803607</v>
      </c>
      <c r="AX818" s="55">
        <v>0</v>
      </c>
      <c r="AY818" s="55">
        <v>0</v>
      </c>
      <c r="AZ818" s="55">
        <v>1228652.79</v>
      </c>
      <c r="BA818" s="55">
        <v>1678642.03</v>
      </c>
      <c r="BB818" s="55">
        <v>0</v>
      </c>
      <c r="BC818" s="55"/>
      <c r="BD818" s="55"/>
      <c r="BE818" s="55">
        <v>0</v>
      </c>
      <c r="BF818" s="55">
        <v>3803871.23</v>
      </c>
      <c r="BG818" s="55">
        <v>0</v>
      </c>
      <c r="BH818" s="55">
        <v>0</v>
      </c>
      <c r="BI818" s="55"/>
      <c r="BJ818" s="55"/>
      <c r="BK818" s="63"/>
      <c r="BL818" s="64">
        <v>1006565.92178036</v>
      </c>
      <c r="BM818" s="62">
        <f t="shared" si="208"/>
        <v>7717731.9717803607</v>
      </c>
      <c r="BN818" s="55">
        <v>0</v>
      </c>
      <c r="BO818" s="55">
        <v>0</v>
      </c>
      <c r="BP818" s="55">
        <v>1228652.79</v>
      </c>
      <c r="BQ818" s="55">
        <v>1678642.03</v>
      </c>
      <c r="BR818" s="55">
        <v>0</v>
      </c>
      <c r="BS818" s="55"/>
      <c r="BT818" s="55"/>
      <c r="BU818" s="55">
        <v>0</v>
      </c>
      <c r="BV818" s="55">
        <v>3803871.23</v>
      </c>
      <c r="BW818" s="55">
        <v>0</v>
      </c>
      <c r="BX818" s="55">
        <v>0</v>
      </c>
      <c r="BY818" s="55"/>
      <c r="BZ818" s="55"/>
      <c r="CA818" s="63"/>
      <c r="CB818" s="64">
        <v>1006565.92178036</v>
      </c>
      <c r="CD818" s="75"/>
      <c r="CE818" s="6"/>
    </row>
    <row r="819" spans="1:84" x14ac:dyDescent="0.25">
      <c r="A819" s="105">
        <f t="shared" si="209"/>
        <v>797</v>
      </c>
      <c r="B819" s="106">
        <f t="shared" si="206"/>
        <v>337</v>
      </c>
      <c r="C819" s="107" t="s">
        <v>250</v>
      </c>
      <c r="D819" s="107" t="s">
        <v>497</v>
      </c>
      <c r="E819" s="128">
        <v>1971</v>
      </c>
      <c r="F819" s="128">
        <v>2012</v>
      </c>
      <c r="G819" s="128" t="s">
        <v>64</v>
      </c>
      <c r="H819" s="128">
        <v>4</v>
      </c>
      <c r="I819" s="128">
        <v>4</v>
      </c>
      <c r="J819" s="63">
        <v>2748.3</v>
      </c>
      <c r="K819" s="63">
        <v>2738.3</v>
      </c>
      <c r="L819" s="63">
        <v>0</v>
      </c>
      <c r="M819" s="129">
        <v>105</v>
      </c>
      <c r="N819" s="108">
        <v>1704412.11</v>
      </c>
      <c r="O819" s="63"/>
      <c r="P819" s="63"/>
      <c r="Q819" s="63"/>
      <c r="R819" s="62">
        <v>590774.19999999995</v>
      </c>
      <c r="S819" s="62">
        <v>1113637.9099999999</v>
      </c>
      <c r="T819" s="63"/>
      <c r="U819" s="63">
        <v>2250.2367697749801</v>
      </c>
      <c r="V819" s="63">
        <v>2250.2367697749801</v>
      </c>
      <c r="W819" s="59">
        <v>2024</v>
      </c>
      <c r="X819" s="6" t="e">
        <v>#REF!</v>
      </c>
      <c r="Z819" s="62">
        <f t="shared" si="211"/>
        <v>62662210.079999916</v>
      </c>
      <c r="AA819" s="55">
        <v>0</v>
      </c>
      <c r="AB819" s="55">
        <v>0</v>
      </c>
      <c r="AC819" s="55">
        <v>4217364.3079906804</v>
      </c>
      <c r="AD819" s="55">
        <v>2744703.5403370801</v>
      </c>
      <c r="AE819" s="55">
        <v>0</v>
      </c>
      <c r="AF819" s="55"/>
      <c r="AG819" s="55">
        <v>0</v>
      </c>
      <c r="AH819" s="55">
        <v>0</v>
      </c>
      <c r="AI819" s="55">
        <v>21741801.005597401</v>
      </c>
      <c r="AJ819" s="55">
        <v>0</v>
      </c>
      <c r="AK819" s="55">
        <v>11050078.7312399</v>
      </c>
      <c r="AL819" s="55">
        <v>14967785.0272427</v>
      </c>
      <c r="AM819" s="55">
        <v>6117201.9047999997</v>
      </c>
      <c r="AN819" s="63">
        <v>626622.10080000001</v>
      </c>
      <c r="AO819" s="64">
        <v>1196653.46199216</v>
      </c>
      <c r="AP819" s="61">
        <f>+N819-'Приложение №2'!E819</f>
        <v>3.3251603599637747E-3</v>
      </c>
      <c r="AQ819" s="1">
        <v>971459.84</v>
      </c>
      <c r="AR819" s="3">
        <f t="shared" si="213"/>
        <v>279306.59999999998</v>
      </c>
      <c r="AS819" s="3">
        <f>+(K819*10+L819*20)*12*30</f>
        <v>9857880</v>
      </c>
      <c r="AT819" s="6">
        <f t="shared" si="212"/>
        <v>-8744242.0899999999</v>
      </c>
      <c r="AU819" s="6" t="e">
        <v>#REF!</v>
      </c>
      <c r="AV819" s="6" t="e">
        <v>#REF!</v>
      </c>
      <c r="AW819" s="62">
        <f t="shared" si="207"/>
        <v>6161823.346674839</v>
      </c>
      <c r="AX819" s="55">
        <v>0</v>
      </c>
      <c r="AY819" s="55">
        <v>0</v>
      </c>
      <c r="AZ819" s="55">
        <v>1076716.6299999999</v>
      </c>
      <c r="BA819" s="55">
        <v>1632309.59</v>
      </c>
      <c r="BB819" s="55">
        <v>0</v>
      </c>
      <c r="BC819" s="55"/>
      <c r="BD819" s="55"/>
      <c r="BE819" s="55">
        <v>0</v>
      </c>
      <c r="BF819" s="55">
        <v>2825101.65</v>
      </c>
      <c r="BG819" s="55">
        <v>0</v>
      </c>
      <c r="BH819" s="55"/>
      <c r="BI819" s="55"/>
      <c r="BJ819" s="55"/>
      <c r="BK819" s="63"/>
      <c r="BL819" s="64">
        <v>627695.47667483997</v>
      </c>
      <c r="BM819" s="62">
        <f t="shared" si="208"/>
        <v>6161823.346674839</v>
      </c>
      <c r="BN819" s="55">
        <v>0</v>
      </c>
      <c r="BO819" s="55">
        <v>0</v>
      </c>
      <c r="BP819" s="55">
        <v>1076716.6299999999</v>
      </c>
      <c r="BQ819" s="55">
        <v>1632309.59</v>
      </c>
      <c r="BR819" s="55">
        <v>0</v>
      </c>
      <c r="BS819" s="55"/>
      <c r="BT819" s="55"/>
      <c r="BU819" s="55">
        <v>0</v>
      </c>
      <c r="BV819" s="55">
        <v>2825101.65</v>
      </c>
      <c r="BW819" s="55">
        <v>0</v>
      </c>
      <c r="BX819" s="55"/>
      <c r="BY819" s="55"/>
      <c r="BZ819" s="55"/>
      <c r="CA819" s="63"/>
      <c r="CB819" s="64">
        <v>627695.47667483997</v>
      </c>
      <c r="CD819" s="75"/>
      <c r="CE819" s="6"/>
    </row>
    <row r="820" spans="1:84" x14ac:dyDescent="0.25">
      <c r="A820" s="105">
        <f t="shared" si="209"/>
        <v>798</v>
      </c>
      <c r="B820" s="106">
        <f t="shared" si="206"/>
        <v>338</v>
      </c>
      <c r="C820" s="107" t="s">
        <v>250</v>
      </c>
      <c r="D820" s="107" t="s">
        <v>741</v>
      </c>
      <c r="E820" s="128">
        <v>1981</v>
      </c>
      <c r="F820" s="128">
        <v>1981</v>
      </c>
      <c r="G820" s="128" t="s">
        <v>64</v>
      </c>
      <c r="H820" s="128">
        <v>4</v>
      </c>
      <c r="I820" s="128">
        <v>2</v>
      </c>
      <c r="J820" s="63">
        <v>1312.5</v>
      </c>
      <c r="K820" s="63">
        <v>1312.5</v>
      </c>
      <c r="L820" s="63">
        <v>0</v>
      </c>
      <c r="M820" s="129">
        <v>60</v>
      </c>
      <c r="N820" s="108">
        <v>8194296.4199999999</v>
      </c>
      <c r="O820" s="63"/>
      <c r="P820" s="63"/>
      <c r="Q820" s="63"/>
      <c r="R820" s="62">
        <v>169987.73</v>
      </c>
      <c r="S820" s="62">
        <v>4469610.4400000004</v>
      </c>
      <c r="T820" s="62">
        <v>3554698.25</v>
      </c>
      <c r="U820" s="63">
        <v>6243.2734657194696</v>
      </c>
      <c r="V820" s="63">
        <v>6243.2734657194696</v>
      </c>
      <c r="W820" s="59">
        <v>2024</v>
      </c>
      <c r="X820" s="6" t="e">
        <v>#REF!</v>
      </c>
      <c r="Z820" s="62">
        <f t="shared" si="211"/>
        <v>36563550.319999993</v>
      </c>
      <c r="AA820" s="55">
        <v>4266007.5956097599</v>
      </c>
      <c r="AB820" s="55">
        <v>1955020.1317046401</v>
      </c>
      <c r="AC820" s="55">
        <v>1978258.19473128</v>
      </c>
      <c r="AD820" s="55">
        <v>1287470.5310543999</v>
      </c>
      <c r="AE820" s="55">
        <v>0</v>
      </c>
      <c r="AF820" s="55"/>
      <c r="AG820" s="55">
        <v>129640.86798431999</v>
      </c>
      <c r="AH820" s="55">
        <v>0</v>
      </c>
      <c r="AI820" s="55">
        <v>10198525.1661216</v>
      </c>
      <c r="AJ820" s="55">
        <v>0</v>
      </c>
      <c r="AK820" s="55">
        <v>5183310.5259751203</v>
      </c>
      <c r="AL820" s="55">
        <v>7021006.7784964796</v>
      </c>
      <c r="AM820" s="55">
        <v>3478479.1008000001</v>
      </c>
      <c r="AN820" s="63">
        <v>365635.50319999998</v>
      </c>
      <c r="AO820" s="64">
        <v>700195.92432240001</v>
      </c>
      <c r="AP820" s="61">
        <f>+N820-'Приложение №2'!E820</f>
        <v>-3.7568062543869019E-3</v>
      </c>
      <c r="AQ820" s="1">
        <f>461712.25-425599.52</f>
        <v>36112.729999999981</v>
      </c>
      <c r="AR820" s="3">
        <f t="shared" si="213"/>
        <v>133875</v>
      </c>
      <c r="AS820" s="3">
        <f>+(K820*10+L820*20)*12*30-255389.56</f>
        <v>4469610.4400000004</v>
      </c>
      <c r="AT820" s="6">
        <f t="shared" si="212"/>
        <v>0</v>
      </c>
      <c r="AU820" s="6" t="e">
        <v>#REF!</v>
      </c>
      <c r="AV820" s="6" t="e">
        <v>#REF!</v>
      </c>
      <c r="AW820" s="62">
        <f t="shared" si="207"/>
        <v>8194296.4237568062</v>
      </c>
      <c r="AX820" s="55"/>
      <c r="AY820" s="55"/>
      <c r="AZ820" s="55">
        <v>2187835.78837976</v>
      </c>
      <c r="BA820" s="55"/>
      <c r="BB820" s="55"/>
      <c r="BC820" s="55"/>
      <c r="BD820" s="55"/>
      <c r="BE820" s="55"/>
      <c r="BF820" s="55"/>
      <c r="BG820" s="55"/>
      <c r="BH820" s="55"/>
      <c r="BI820" s="55">
        <v>5831102.6919086501</v>
      </c>
      <c r="BJ820" s="55"/>
      <c r="BK820" s="63"/>
      <c r="BL820" s="64">
        <v>175357.943468396</v>
      </c>
      <c r="BM820" s="62">
        <f t="shared" si="208"/>
        <v>8194296.4237568062</v>
      </c>
      <c r="BN820" s="55"/>
      <c r="BO820" s="55"/>
      <c r="BP820" s="55">
        <v>2187835.78837976</v>
      </c>
      <c r="BQ820" s="55"/>
      <c r="BR820" s="55"/>
      <c r="BS820" s="55"/>
      <c r="BT820" s="55"/>
      <c r="BU820" s="55"/>
      <c r="BV820" s="55"/>
      <c r="BW820" s="55"/>
      <c r="BX820" s="55"/>
      <c r="BY820" s="55">
        <v>5831102.6919086501</v>
      </c>
      <c r="BZ820" s="55"/>
      <c r="CA820" s="63"/>
      <c r="CB820" s="64">
        <v>175357.943468396</v>
      </c>
      <c r="CD820" s="75"/>
      <c r="CE820" s="6"/>
    </row>
    <row r="821" spans="1:84" x14ac:dyDescent="0.25">
      <c r="A821" s="105">
        <f t="shared" si="209"/>
        <v>799</v>
      </c>
      <c r="B821" s="106">
        <f t="shared" si="206"/>
        <v>339</v>
      </c>
      <c r="C821" s="107" t="s">
        <v>421</v>
      </c>
      <c r="D821" s="107" t="s">
        <v>742</v>
      </c>
      <c r="E821" s="128">
        <v>1987</v>
      </c>
      <c r="F821" s="128">
        <v>2013</v>
      </c>
      <c r="G821" s="128" t="s">
        <v>64</v>
      </c>
      <c r="H821" s="128">
        <v>3</v>
      </c>
      <c r="I821" s="128">
        <v>1</v>
      </c>
      <c r="J821" s="63">
        <v>801.1</v>
      </c>
      <c r="K821" s="63">
        <v>730.3</v>
      </c>
      <c r="L821" s="63">
        <v>0</v>
      </c>
      <c r="M821" s="129">
        <v>20</v>
      </c>
      <c r="N821" s="108">
        <v>1811123.54</v>
      </c>
      <c r="O821" s="63"/>
      <c r="P821" s="63"/>
      <c r="Q821" s="63"/>
      <c r="R821" s="62">
        <v>370716.76</v>
      </c>
      <c r="S821" s="62">
        <v>1440406.78</v>
      </c>
      <c r="T821" s="63"/>
      <c r="U821" s="63">
        <v>2479.97198800767</v>
      </c>
      <c r="V821" s="63">
        <v>2479.97198800767</v>
      </c>
      <c r="W821" s="59">
        <v>2024</v>
      </c>
      <c r="X821" s="6" t="e">
        <v>#REF!</v>
      </c>
      <c r="Z821" s="62">
        <f t="shared" si="211"/>
        <v>11533143.700000001</v>
      </c>
      <c r="AA821" s="55">
        <v>2498530.6047538202</v>
      </c>
      <c r="AB821" s="55">
        <v>1521682.50827208</v>
      </c>
      <c r="AC821" s="55">
        <v>0</v>
      </c>
      <c r="AD821" s="55">
        <v>0</v>
      </c>
      <c r="AE821" s="55">
        <v>0</v>
      </c>
      <c r="AF821" s="55"/>
      <c r="AG821" s="55">
        <v>230726.84989367999</v>
      </c>
      <c r="AH821" s="55">
        <v>0</v>
      </c>
      <c r="AI821" s="55">
        <v>0</v>
      </c>
      <c r="AJ821" s="55">
        <v>0</v>
      </c>
      <c r="AK821" s="55">
        <v>5869999.6362146996</v>
      </c>
      <c r="AL821" s="55">
        <v>0</v>
      </c>
      <c r="AM821" s="55">
        <v>1075548.2132000001</v>
      </c>
      <c r="AN821" s="63">
        <v>115331.43700000001</v>
      </c>
      <c r="AO821" s="64">
        <v>221324.45066572001</v>
      </c>
      <c r="AP821" s="61">
        <f>+N821-'Приложение №2'!E821</f>
        <v>-2.8419999871402979E-3</v>
      </c>
      <c r="AQ821" s="1">
        <f>366713.48-70487.32</f>
        <v>296226.15999999997</v>
      </c>
      <c r="AR821" s="3">
        <f t="shared" si="213"/>
        <v>74490.599999999991</v>
      </c>
      <c r="AS821" s="3">
        <f>+(K821*10+L821*20)*12*30-373794.5</f>
        <v>2255285.5</v>
      </c>
      <c r="AT821" s="6">
        <f t="shared" si="212"/>
        <v>-814878.71999999997</v>
      </c>
      <c r="AU821" s="6" t="e">
        <v>#REF!</v>
      </c>
      <c r="AV821" s="6" t="e">
        <v>#REF!</v>
      </c>
      <c r="AW821" s="62">
        <f t="shared" si="207"/>
        <v>1811123.542842</v>
      </c>
      <c r="AX821" s="55"/>
      <c r="AY821" s="55">
        <v>1775821.500432</v>
      </c>
      <c r="AZ821" s="55">
        <v>0</v>
      </c>
      <c r="BA821" s="55">
        <v>0</v>
      </c>
      <c r="BB821" s="55">
        <v>0</v>
      </c>
      <c r="BC821" s="55"/>
      <c r="BD821" s="55"/>
      <c r="BE821" s="55">
        <v>0</v>
      </c>
      <c r="BF821" s="55">
        <v>0</v>
      </c>
      <c r="BG821" s="55">
        <v>0</v>
      </c>
      <c r="BH821" s="55"/>
      <c r="BI821" s="55">
        <v>0</v>
      </c>
      <c r="BJ821" s="55"/>
      <c r="BK821" s="63"/>
      <c r="BL821" s="64">
        <v>35302.042410000002</v>
      </c>
      <c r="BM821" s="62">
        <f t="shared" si="208"/>
        <v>1811123.542842</v>
      </c>
      <c r="BN821" s="55"/>
      <c r="BO821" s="55">
        <v>1775821.500432</v>
      </c>
      <c r="BP821" s="55">
        <v>0</v>
      </c>
      <c r="BQ821" s="55">
        <v>0</v>
      </c>
      <c r="BR821" s="55">
        <v>0</v>
      </c>
      <c r="BS821" s="55"/>
      <c r="BT821" s="55"/>
      <c r="BU821" s="55">
        <v>0</v>
      </c>
      <c r="BV821" s="55">
        <v>0</v>
      </c>
      <c r="BW821" s="55">
        <v>0</v>
      </c>
      <c r="BX821" s="55"/>
      <c r="BY821" s="55">
        <v>0</v>
      </c>
      <c r="BZ821" s="55"/>
      <c r="CA821" s="63"/>
      <c r="CB821" s="64">
        <v>35302.042410000002</v>
      </c>
      <c r="CD821" s="75"/>
      <c r="CE821" s="6"/>
    </row>
    <row r="822" spans="1:84" x14ac:dyDescent="0.25">
      <c r="A822" s="105">
        <f t="shared" si="209"/>
        <v>800</v>
      </c>
      <c r="B822" s="106">
        <f t="shared" si="206"/>
        <v>340</v>
      </c>
      <c r="C822" s="53" t="s">
        <v>421</v>
      </c>
      <c r="D822" s="53" t="s">
        <v>501</v>
      </c>
      <c r="E822" s="54">
        <v>1989</v>
      </c>
      <c r="F822" s="54">
        <v>2013</v>
      </c>
      <c r="G822" s="54" t="s">
        <v>64</v>
      </c>
      <c r="H822" s="54">
        <v>4</v>
      </c>
      <c r="I822" s="54">
        <v>2</v>
      </c>
      <c r="J822" s="55">
        <v>1529.1</v>
      </c>
      <c r="K822" s="55">
        <v>1348.1</v>
      </c>
      <c r="L822" s="55">
        <v>0</v>
      </c>
      <c r="M822" s="56">
        <v>46</v>
      </c>
      <c r="N822" s="112">
        <v>727619.2</v>
      </c>
      <c r="O822" s="55"/>
      <c r="P822" s="63"/>
      <c r="Q822" s="63"/>
      <c r="R822" s="63"/>
      <c r="S822" s="62">
        <v>727619.2</v>
      </c>
      <c r="T822" s="63"/>
      <c r="U822" s="55">
        <v>5519.6941713715596</v>
      </c>
      <c r="V822" s="55">
        <v>5519.6941713715596</v>
      </c>
      <c r="W822" s="59">
        <v>2024</v>
      </c>
      <c r="X822" s="6" t="e">
        <v>#REF!</v>
      </c>
      <c r="Z822" s="62">
        <f t="shared" si="211"/>
        <v>12006150.479999999</v>
      </c>
      <c r="AA822" s="55">
        <v>2778320.4092007</v>
      </c>
      <c r="AB822" s="55">
        <v>1283573.09968482</v>
      </c>
      <c r="AC822" s="55">
        <v>0</v>
      </c>
      <c r="AD822" s="55">
        <v>0</v>
      </c>
      <c r="AE822" s="55">
        <v>0</v>
      </c>
      <c r="AF822" s="55"/>
      <c r="AG822" s="55">
        <v>0</v>
      </c>
      <c r="AH822" s="55">
        <v>0</v>
      </c>
      <c r="AI822" s="55">
        <v>6528512.2887180001</v>
      </c>
      <c r="AJ822" s="55">
        <v>0</v>
      </c>
      <c r="AK822" s="55">
        <v>0</v>
      </c>
      <c r="AL822" s="55">
        <v>0</v>
      </c>
      <c r="AM822" s="55">
        <v>1064092.452</v>
      </c>
      <c r="AN822" s="63">
        <v>120061.5048</v>
      </c>
      <c r="AO822" s="64">
        <v>231590.72559648001</v>
      </c>
      <c r="AP822" s="61">
        <f>+N822-'Приложение №2'!E822</f>
        <v>-2.4260000791400671E-3</v>
      </c>
      <c r="AQ822" s="1">
        <v>579070.04</v>
      </c>
      <c r="AR822" s="3">
        <f t="shared" si="213"/>
        <v>137506.19999999998</v>
      </c>
      <c r="AS822" s="3">
        <f>+(K822*10+L822*20)*12*30</f>
        <v>4853160</v>
      </c>
      <c r="AT822" s="6">
        <f t="shared" si="212"/>
        <v>-4125540.8</v>
      </c>
      <c r="AU822" s="6" t="e">
        <v>#REF!</v>
      </c>
      <c r="AV822" s="6" t="e">
        <v>#REF!</v>
      </c>
      <c r="AW822" s="62">
        <f t="shared" si="207"/>
        <v>7441099.7124260003</v>
      </c>
      <c r="AX822" s="55"/>
      <c r="AY822" s="55">
        <v>539640.37</v>
      </c>
      <c r="AZ822" s="55">
        <v>0</v>
      </c>
      <c r="BA822" s="55">
        <v>0</v>
      </c>
      <c r="BB822" s="55">
        <v>0</v>
      </c>
      <c r="BC822" s="55"/>
      <c r="BD822" s="55"/>
      <c r="BE822" s="55">
        <v>0</v>
      </c>
      <c r="BF822" s="55">
        <v>6713480.5099999998</v>
      </c>
      <c r="BG822" s="55">
        <v>0</v>
      </c>
      <c r="BH822" s="55">
        <v>0</v>
      </c>
      <c r="BI822" s="55">
        <v>0</v>
      </c>
      <c r="BJ822" s="55"/>
      <c r="BK822" s="63"/>
      <c r="BL822" s="111">
        <v>187978.83242600001</v>
      </c>
      <c r="BM822" s="62">
        <f t="shared" si="208"/>
        <v>7441099.7124260003</v>
      </c>
      <c r="BN822" s="55"/>
      <c r="BO822" s="55">
        <v>539640.37</v>
      </c>
      <c r="BP822" s="55">
        <v>0</v>
      </c>
      <c r="BQ822" s="55">
        <v>0</v>
      </c>
      <c r="BR822" s="55">
        <v>0</v>
      </c>
      <c r="BS822" s="55"/>
      <c r="BT822" s="55"/>
      <c r="BU822" s="55">
        <v>0</v>
      </c>
      <c r="BV822" s="55">
        <v>6713480.5099999998</v>
      </c>
      <c r="BW822" s="55">
        <v>0</v>
      </c>
      <c r="BX822" s="55">
        <v>0</v>
      </c>
      <c r="BY822" s="55">
        <v>0</v>
      </c>
      <c r="BZ822" s="55"/>
      <c r="CA822" s="63"/>
      <c r="CB822" s="64">
        <v>187978.83242600001</v>
      </c>
      <c r="CD822" s="75"/>
      <c r="CE822" s="6"/>
    </row>
    <row r="823" spans="1:84" x14ac:dyDescent="0.25">
      <c r="A823" s="105">
        <f t="shared" si="209"/>
        <v>801</v>
      </c>
      <c r="B823" s="106">
        <f t="shared" si="206"/>
        <v>341</v>
      </c>
      <c r="C823" s="107" t="s">
        <v>421</v>
      </c>
      <c r="D823" s="107" t="s">
        <v>743</v>
      </c>
      <c r="E823" s="128">
        <v>1989</v>
      </c>
      <c r="F823" s="128">
        <v>2013</v>
      </c>
      <c r="G823" s="128" t="s">
        <v>64</v>
      </c>
      <c r="H823" s="128">
        <v>4</v>
      </c>
      <c r="I823" s="128">
        <v>1</v>
      </c>
      <c r="J823" s="63">
        <v>875.7</v>
      </c>
      <c r="K823" s="63">
        <v>808.7</v>
      </c>
      <c r="L823" s="63">
        <v>67</v>
      </c>
      <c r="M823" s="129">
        <v>23</v>
      </c>
      <c r="N823" s="108">
        <v>3711892.49</v>
      </c>
      <c r="O823" s="63"/>
      <c r="P823" s="63"/>
      <c r="Q823" s="63"/>
      <c r="R823" s="62">
        <v>629868.06000000006</v>
      </c>
      <c r="S823" s="62">
        <v>3082024.43</v>
      </c>
      <c r="T823" s="63">
        <v>0</v>
      </c>
      <c r="U823" s="63">
        <v>4085.3723574283399</v>
      </c>
      <c r="V823" s="63">
        <v>4085.3723574283399</v>
      </c>
      <c r="W823" s="59">
        <v>2024</v>
      </c>
      <c r="X823" s="6" t="e">
        <v>#REF!</v>
      </c>
      <c r="Z823" s="62">
        <f t="shared" si="211"/>
        <v>3689249.02</v>
      </c>
      <c r="AA823" s="55">
        <v>1648298.3059179001</v>
      </c>
      <c r="AB823" s="55">
        <v>761507.33362662001</v>
      </c>
      <c r="AC823" s="55">
        <v>771439.24014653999</v>
      </c>
      <c r="AD823" s="55">
        <v>0</v>
      </c>
      <c r="AE823" s="55">
        <v>0</v>
      </c>
      <c r="AF823" s="55"/>
      <c r="AG823" s="55">
        <v>75038.982825240004</v>
      </c>
      <c r="AH823" s="55">
        <v>0</v>
      </c>
      <c r="AI823" s="55">
        <v>0</v>
      </c>
      <c r="AJ823" s="55">
        <v>0</v>
      </c>
      <c r="AK823" s="55">
        <v>0</v>
      </c>
      <c r="AL823" s="55">
        <v>0</v>
      </c>
      <c r="AM823" s="55">
        <v>324864.33429999999</v>
      </c>
      <c r="AN823" s="63">
        <v>36892.4902</v>
      </c>
      <c r="AO823" s="64">
        <v>71208.332983700006</v>
      </c>
      <c r="AP823" s="61">
        <f>+N823-'Приложение №2'!E823</f>
        <v>-2.3199990391731262E-4</v>
      </c>
      <c r="AQ823" s="1">
        <v>399380.74</v>
      </c>
      <c r="AR823" s="3">
        <f t="shared" si="213"/>
        <v>96155.4</v>
      </c>
      <c r="AS823" s="3">
        <f>+(K823*10+L823*20)*12*30</f>
        <v>3393720</v>
      </c>
      <c r="AT823" s="6">
        <f t="shared" si="212"/>
        <v>-311695.56999999983</v>
      </c>
      <c r="AU823" s="6" t="e">
        <v>#REF!</v>
      </c>
      <c r="AV823" s="6" t="e">
        <v>#REF!</v>
      </c>
      <c r="AW823" s="62">
        <f t="shared" si="207"/>
        <v>3577560.5734000001</v>
      </c>
      <c r="AX823" s="55">
        <v>1767665.613168</v>
      </c>
      <c r="AY823" s="55">
        <v>815853.27133799996</v>
      </c>
      <c r="AZ823" s="55">
        <v>842442.90979800001</v>
      </c>
      <c r="BA823" s="55">
        <v>0</v>
      </c>
      <c r="BB823" s="55">
        <v>0</v>
      </c>
      <c r="BC823" s="55"/>
      <c r="BD823" s="55">
        <v>75038.982825240004</v>
      </c>
      <c r="BE823" s="55">
        <v>0</v>
      </c>
      <c r="BF823" s="55">
        <v>0</v>
      </c>
      <c r="BG823" s="55">
        <v>0</v>
      </c>
      <c r="BH823" s="55">
        <v>0</v>
      </c>
      <c r="BI823" s="55">
        <v>0</v>
      </c>
      <c r="BJ823" s="55"/>
      <c r="BK823" s="63"/>
      <c r="BL823" s="64">
        <v>76559.796270759995</v>
      </c>
      <c r="BM823" s="62">
        <f t="shared" si="208"/>
        <v>3577560.5734000001</v>
      </c>
      <c r="BN823" s="55">
        <v>1767665.613168</v>
      </c>
      <c r="BO823" s="55">
        <v>815853.27133799996</v>
      </c>
      <c r="BP823" s="55">
        <v>842442.90979800001</v>
      </c>
      <c r="BQ823" s="55">
        <v>0</v>
      </c>
      <c r="BR823" s="55">
        <v>0</v>
      </c>
      <c r="BS823" s="55"/>
      <c r="BT823" s="55">
        <v>75038.982825240004</v>
      </c>
      <c r="BU823" s="55">
        <v>0</v>
      </c>
      <c r="BV823" s="55">
        <v>0</v>
      </c>
      <c r="BW823" s="55">
        <v>0</v>
      </c>
      <c r="BX823" s="55">
        <v>0</v>
      </c>
      <c r="BY823" s="55">
        <v>0</v>
      </c>
      <c r="BZ823" s="55"/>
      <c r="CA823" s="63"/>
      <c r="CB823" s="64">
        <v>76559.796270759995</v>
      </c>
      <c r="CD823" s="75"/>
      <c r="CE823" s="6"/>
    </row>
    <row r="824" spans="1:84" x14ac:dyDescent="0.25">
      <c r="A824" s="105">
        <f t="shared" si="209"/>
        <v>802</v>
      </c>
      <c r="B824" s="106">
        <f t="shared" si="206"/>
        <v>342</v>
      </c>
      <c r="C824" s="107" t="s">
        <v>421</v>
      </c>
      <c r="D824" s="107" t="s">
        <v>422</v>
      </c>
      <c r="E824" s="54">
        <v>1992</v>
      </c>
      <c r="F824" s="54">
        <v>2013</v>
      </c>
      <c r="G824" s="54" t="s">
        <v>64</v>
      </c>
      <c r="H824" s="54">
        <v>5</v>
      </c>
      <c r="I824" s="54">
        <v>3</v>
      </c>
      <c r="J824" s="55">
        <v>3334.6</v>
      </c>
      <c r="K824" s="55">
        <v>2949.9</v>
      </c>
      <c r="L824" s="55">
        <v>0</v>
      </c>
      <c r="M824" s="56">
        <v>91</v>
      </c>
      <c r="N824" s="108">
        <v>16135370.9</v>
      </c>
      <c r="O824" s="63"/>
      <c r="P824" s="63"/>
      <c r="Q824" s="63"/>
      <c r="R824" s="62">
        <v>1250103.69</v>
      </c>
      <c r="S824" s="62">
        <v>9486135.2699999996</v>
      </c>
      <c r="T824" s="62">
        <v>5399131.9400000004</v>
      </c>
      <c r="U824" s="55">
        <v>6090.1892139319998</v>
      </c>
      <c r="V824" s="55">
        <v>6090.1892139319998</v>
      </c>
      <c r="W824" s="59">
        <v>2024</v>
      </c>
      <c r="X824" s="6" t="e">
        <v>#REF!</v>
      </c>
      <c r="Z824" s="62">
        <f t="shared" si="211"/>
        <v>24232773.930000003</v>
      </c>
      <c r="AA824" s="55">
        <v>6144661.3698834004</v>
      </c>
      <c r="AB824" s="55">
        <v>2838809.3808026402</v>
      </c>
      <c r="AC824" s="55">
        <v>2875834.3669440001</v>
      </c>
      <c r="AD824" s="55">
        <v>1857721.65669048</v>
      </c>
      <c r="AE824" s="55">
        <v>0</v>
      </c>
      <c r="AF824" s="55"/>
      <c r="AG824" s="55">
        <v>0</v>
      </c>
      <c r="AH824" s="55">
        <v>0</v>
      </c>
      <c r="AI824" s="55">
        <v>0</v>
      </c>
      <c r="AJ824" s="55">
        <v>0</v>
      </c>
      <c r="AK824" s="55">
        <v>7458847.8699054597</v>
      </c>
      <c r="AL824" s="55">
        <v>0</v>
      </c>
      <c r="AM824" s="55">
        <v>2351498.0564000001</v>
      </c>
      <c r="AN824" s="63">
        <v>242327.73929999999</v>
      </c>
      <c r="AO824" s="64">
        <v>463073.49007402</v>
      </c>
      <c r="AP824" s="61">
        <f>+N824-'Приложение №2'!E832</f>
        <v>8282701.5539880004</v>
      </c>
      <c r="AQ824" s="1">
        <v>1192628.99</v>
      </c>
      <c r="AR824" s="3">
        <f t="shared" si="213"/>
        <v>300889.8</v>
      </c>
      <c r="AS824" s="3">
        <f>+(K824*10+L824*20)*12*30</f>
        <v>10619640</v>
      </c>
      <c r="AT824" s="6">
        <f t="shared" si="212"/>
        <v>-1133504.7300000004</v>
      </c>
      <c r="AU824" s="6" t="e">
        <v>#REF!</v>
      </c>
      <c r="AV824" s="6" t="e">
        <v>#REF!</v>
      </c>
      <c r="AW824" s="62">
        <f t="shared" si="207"/>
        <v>17965449.162177999</v>
      </c>
      <c r="AX824" s="55">
        <v>6428842.3899999997</v>
      </c>
      <c r="AY824" s="55">
        <v>1825378.91</v>
      </c>
      <c r="AZ824" s="55">
        <v>1830078.26</v>
      </c>
      <c r="BA824" s="55"/>
      <c r="BB824" s="55">
        <v>0</v>
      </c>
      <c r="BC824" s="55"/>
      <c r="BD824" s="55"/>
      <c r="BE824" s="55">
        <v>0</v>
      </c>
      <c r="BF824" s="55">
        <v>0</v>
      </c>
      <c r="BG824" s="55">
        <v>0</v>
      </c>
      <c r="BH824" s="55">
        <v>7416801.1399999997</v>
      </c>
      <c r="BI824" s="55">
        <v>0</v>
      </c>
      <c r="BJ824" s="55"/>
      <c r="BK824" s="63"/>
      <c r="BL824" s="111">
        <v>464348.46217800002</v>
      </c>
      <c r="BM824" s="62">
        <f t="shared" si="208"/>
        <v>17965449.162177999</v>
      </c>
      <c r="BN824" s="55">
        <v>6428842.3899999997</v>
      </c>
      <c r="BO824" s="55">
        <v>1825378.91</v>
      </c>
      <c r="BP824" s="55">
        <v>1830078.26</v>
      </c>
      <c r="BQ824" s="55"/>
      <c r="BR824" s="55">
        <v>0</v>
      </c>
      <c r="BS824" s="55"/>
      <c r="BT824" s="55"/>
      <c r="BU824" s="55">
        <v>0</v>
      </c>
      <c r="BV824" s="55">
        <v>0</v>
      </c>
      <c r="BW824" s="55">
        <v>0</v>
      </c>
      <c r="BX824" s="55">
        <v>7416801.1399999997</v>
      </c>
      <c r="BY824" s="55">
        <v>0</v>
      </c>
      <c r="BZ824" s="55"/>
      <c r="CA824" s="63"/>
      <c r="CB824" s="64">
        <v>464348.46217800002</v>
      </c>
      <c r="CD824" s="75"/>
      <c r="CE824" s="6"/>
    </row>
    <row r="825" spans="1:84" x14ac:dyDescent="0.25">
      <c r="A825" s="105">
        <f t="shared" si="209"/>
        <v>803</v>
      </c>
      <c r="B825" s="106">
        <f t="shared" si="206"/>
        <v>343</v>
      </c>
      <c r="C825" s="107" t="s">
        <v>421</v>
      </c>
      <c r="D825" s="107" t="s">
        <v>744</v>
      </c>
      <c r="E825" s="128">
        <v>1993</v>
      </c>
      <c r="F825" s="128">
        <v>2013</v>
      </c>
      <c r="G825" s="128" t="s">
        <v>64</v>
      </c>
      <c r="H825" s="128">
        <v>4</v>
      </c>
      <c r="I825" s="128">
        <v>2</v>
      </c>
      <c r="J825" s="63">
        <v>1957.1</v>
      </c>
      <c r="K825" s="63">
        <v>1782.2</v>
      </c>
      <c r="L825" s="63">
        <v>0</v>
      </c>
      <c r="M825" s="129">
        <v>51</v>
      </c>
      <c r="N825" s="108">
        <v>7768881.3499999996</v>
      </c>
      <c r="O825" s="63"/>
      <c r="P825" s="62">
        <v>489303.73</v>
      </c>
      <c r="Q825" s="63"/>
      <c r="R825" s="62">
        <v>863657.62</v>
      </c>
      <c r="S825" s="62">
        <v>6415920</v>
      </c>
      <c r="T825" s="63"/>
      <c r="U825" s="63">
        <v>4359.1523678599497</v>
      </c>
      <c r="V825" s="63">
        <v>4359.1523678599497</v>
      </c>
      <c r="W825" s="59">
        <v>2024</v>
      </c>
      <c r="X825" s="6" t="e">
        <v>#REF!</v>
      </c>
      <c r="Z825" s="62">
        <f t="shared" si="211"/>
        <v>9192230.629999999</v>
      </c>
      <c r="AA825" s="55">
        <v>3604821.641694</v>
      </c>
      <c r="AB825" s="55">
        <v>1665413.416611</v>
      </c>
      <c r="AC825" s="55">
        <v>1687134.46937952</v>
      </c>
      <c r="AD825" s="55">
        <v>1089849.3568829999</v>
      </c>
      <c r="AE825" s="55">
        <v>0</v>
      </c>
      <c r="AF825" s="55"/>
      <c r="AG825" s="55">
        <v>0</v>
      </c>
      <c r="AH825" s="55">
        <v>0</v>
      </c>
      <c r="AI825" s="55">
        <v>0</v>
      </c>
      <c r="AJ825" s="55">
        <v>0</v>
      </c>
      <c r="AK825" s="55">
        <v>0</v>
      </c>
      <c r="AL825" s="55">
        <v>0</v>
      </c>
      <c r="AM825" s="55">
        <v>877113.06050000002</v>
      </c>
      <c r="AN825" s="63">
        <v>91922.306299999997</v>
      </c>
      <c r="AO825" s="64">
        <v>175976.37863247999</v>
      </c>
      <c r="AP825" s="61">
        <f>+N825-'Приложение №2'!E825</f>
        <v>0</v>
      </c>
      <c r="AQ825" s="1">
        <v>681873.22</v>
      </c>
      <c r="AR825" s="3">
        <f t="shared" si="213"/>
        <v>181784.4</v>
      </c>
      <c r="AS825" s="3">
        <f>+(K825*10+L825*20)*12*30</f>
        <v>6415920</v>
      </c>
      <c r="AT825" s="6">
        <f t="shared" si="212"/>
        <v>0</v>
      </c>
      <c r="AU825" s="6" t="e">
        <v>#REF!</v>
      </c>
      <c r="AV825" s="6" t="e">
        <v>#REF!</v>
      </c>
      <c r="AW825" s="62">
        <f t="shared" si="207"/>
        <v>7768881.3499999996</v>
      </c>
      <c r="AX825" s="55">
        <v>3912372.017862</v>
      </c>
      <c r="AY825" s="55">
        <v>1821795.805494</v>
      </c>
      <c r="AZ825" s="55">
        <v>1868459.465754</v>
      </c>
      <c r="BA825" s="55"/>
      <c r="BB825" s="55">
        <v>0</v>
      </c>
      <c r="BC825" s="55"/>
      <c r="BD825" s="55"/>
      <c r="BE825" s="55">
        <v>0</v>
      </c>
      <c r="BF825" s="55">
        <v>0</v>
      </c>
      <c r="BG825" s="55">
        <v>0</v>
      </c>
      <c r="BH825" s="55">
        <v>0</v>
      </c>
      <c r="BI825" s="55">
        <v>0</v>
      </c>
      <c r="BJ825" s="55"/>
      <c r="BK825" s="63"/>
      <c r="BL825" s="64">
        <v>166254.06088999999</v>
      </c>
      <c r="BM825" s="62">
        <f t="shared" si="208"/>
        <v>7768881.3499999996</v>
      </c>
      <c r="BN825" s="55">
        <v>3912372.017862</v>
      </c>
      <c r="BO825" s="55">
        <v>1821795.805494</v>
      </c>
      <c r="BP825" s="55">
        <v>1868459.465754</v>
      </c>
      <c r="BQ825" s="55"/>
      <c r="BR825" s="55">
        <v>0</v>
      </c>
      <c r="BS825" s="55"/>
      <c r="BT825" s="55"/>
      <c r="BU825" s="55">
        <v>0</v>
      </c>
      <c r="BV825" s="55">
        <v>0</v>
      </c>
      <c r="BW825" s="55">
        <v>0</v>
      </c>
      <c r="BX825" s="55">
        <v>0</v>
      </c>
      <c r="BY825" s="55">
        <v>0</v>
      </c>
      <c r="BZ825" s="55"/>
      <c r="CA825" s="63"/>
      <c r="CB825" s="64">
        <v>166254.06088999999</v>
      </c>
      <c r="CD825" s="75"/>
      <c r="CE825" s="6"/>
    </row>
    <row r="826" spans="1:84" x14ac:dyDescent="0.25">
      <c r="A826" s="105">
        <f t="shared" si="209"/>
        <v>804</v>
      </c>
      <c r="B826" s="106">
        <f t="shared" si="206"/>
        <v>344</v>
      </c>
      <c r="C826" s="107" t="s">
        <v>421</v>
      </c>
      <c r="D826" s="107" t="s">
        <v>745</v>
      </c>
      <c r="E826" s="128">
        <v>1995</v>
      </c>
      <c r="F826" s="128">
        <v>2013</v>
      </c>
      <c r="G826" s="128" t="s">
        <v>64</v>
      </c>
      <c r="H826" s="128">
        <v>5</v>
      </c>
      <c r="I826" s="128">
        <v>3</v>
      </c>
      <c r="J826" s="63">
        <v>3373.2</v>
      </c>
      <c r="K826" s="63">
        <v>2966.3</v>
      </c>
      <c r="L826" s="63">
        <v>0</v>
      </c>
      <c r="M826" s="129">
        <v>107</v>
      </c>
      <c r="N826" s="108">
        <v>10164042.109999999</v>
      </c>
      <c r="O826" s="63"/>
      <c r="P826" s="63"/>
      <c r="Q826" s="63"/>
      <c r="R826" s="62">
        <v>1643881.39</v>
      </c>
      <c r="S826" s="62">
        <v>8520160.7200000007</v>
      </c>
      <c r="T826" s="63"/>
      <c r="U826" s="63">
        <v>3426.5051107440199</v>
      </c>
      <c r="V826" s="63">
        <v>3426.5051107440199</v>
      </c>
      <c r="W826" s="59">
        <v>2024</v>
      </c>
      <c r="X826" s="6" t="e">
        <v>#REF!</v>
      </c>
      <c r="Z826" s="62">
        <f t="shared" si="211"/>
        <v>12550430.99</v>
      </c>
      <c r="AA826" s="55">
        <v>6235881.2519148597</v>
      </c>
      <c r="AB826" s="55">
        <v>2880952.6065108599</v>
      </c>
      <c r="AC826" s="55">
        <v>0</v>
      </c>
      <c r="AD826" s="55">
        <v>1885300.26106884</v>
      </c>
      <c r="AE826" s="55">
        <v>0</v>
      </c>
      <c r="AF826" s="55"/>
      <c r="AG826" s="55">
        <v>0</v>
      </c>
      <c r="AH826" s="55">
        <v>0</v>
      </c>
      <c r="AI826" s="55">
        <v>0</v>
      </c>
      <c r="AJ826" s="55">
        <v>0</v>
      </c>
      <c r="AK826" s="55">
        <v>0</v>
      </c>
      <c r="AL826" s="55">
        <v>0</v>
      </c>
      <c r="AM826" s="55">
        <v>1182198.1705</v>
      </c>
      <c r="AN826" s="63">
        <v>125504.30989999999</v>
      </c>
      <c r="AO826" s="64">
        <v>240594.39010543999</v>
      </c>
      <c r="AP826" s="61">
        <f>+N826-'Приложение №2'!E826</f>
        <v>0</v>
      </c>
      <c r="AQ826" s="1">
        <v>1341318.79</v>
      </c>
      <c r="AR826" s="3">
        <f t="shared" si="213"/>
        <v>302562.59999999998</v>
      </c>
      <c r="AS826" s="3">
        <f>+(K826*10+L826*20)*12*30</f>
        <v>10678680</v>
      </c>
      <c r="AT826" s="6">
        <f t="shared" si="212"/>
        <v>-2158519.2799999993</v>
      </c>
      <c r="AU826" s="6" t="e">
        <v>#REF!</v>
      </c>
      <c r="AV826" s="6" t="e">
        <v>#REF!</v>
      </c>
      <c r="AW826" s="62">
        <f t="shared" si="207"/>
        <v>10164042.110000001</v>
      </c>
      <c r="AX826" s="55">
        <v>6784576.1506740004</v>
      </c>
      <c r="AY826" s="55">
        <v>3161955.458172</v>
      </c>
      <c r="AZ826" s="55">
        <v>0</v>
      </c>
      <c r="BA826" s="55"/>
      <c r="BB826" s="55">
        <v>0</v>
      </c>
      <c r="BC826" s="55"/>
      <c r="BD826" s="55"/>
      <c r="BE826" s="55">
        <v>0</v>
      </c>
      <c r="BF826" s="55">
        <v>0</v>
      </c>
      <c r="BG826" s="55">
        <v>0</v>
      </c>
      <c r="BH826" s="55">
        <v>0</v>
      </c>
      <c r="BI826" s="55">
        <v>0</v>
      </c>
      <c r="BJ826" s="55"/>
      <c r="BK826" s="63"/>
      <c r="BL826" s="64">
        <v>217510.501154</v>
      </c>
      <c r="BM826" s="62">
        <f t="shared" si="208"/>
        <v>10164042.110000001</v>
      </c>
      <c r="BN826" s="55">
        <v>6784576.1506740004</v>
      </c>
      <c r="BO826" s="55">
        <v>3161955.458172</v>
      </c>
      <c r="BP826" s="55">
        <v>0</v>
      </c>
      <c r="BQ826" s="55"/>
      <c r="BR826" s="55">
        <v>0</v>
      </c>
      <c r="BS826" s="55"/>
      <c r="BT826" s="55"/>
      <c r="BU826" s="55">
        <v>0</v>
      </c>
      <c r="BV826" s="55">
        <v>0</v>
      </c>
      <c r="BW826" s="55">
        <v>0</v>
      </c>
      <c r="BX826" s="55">
        <v>0</v>
      </c>
      <c r="BY826" s="55">
        <v>0</v>
      </c>
      <c r="BZ826" s="55"/>
      <c r="CA826" s="63"/>
      <c r="CB826" s="64">
        <v>217510.501154</v>
      </c>
      <c r="CD826" s="75"/>
      <c r="CE826" s="6"/>
      <c r="CF826" s="6"/>
    </row>
    <row r="827" spans="1:84" s="69" customFormat="1" x14ac:dyDescent="0.25">
      <c r="A827" s="105">
        <f t="shared" si="209"/>
        <v>805</v>
      </c>
      <c r="B827" s="106">
        <f t="shared" si="206"/>
        <v>345</v>
      </c>
      <c r="C827" s="107" t="s">
        <v>423</v>
      </c>
      <c r="D827" s="107" t="s">
        <v>424</v>
      </c>
      <c r="E827" s="128" t="s">
        <v>425</v>
      </c>
      <c r="F827" s="128" t="s">
        <v>425</v>
      </c>
      <c r="G827" s="128" t="s">
        <v>64</v>
      </c>
      <c r="H827" s="128" t="s">
        <v>184</v>
      </c>
      <c r="I827" s="128" t="s">
        <v>184</v>
      </c>
      <c r="J827" s="63">
        <v>2120.65</v>
      </c>
      <c r="K827" s="63">
        <v>1602.1</v>
      </c>
      <c r="L827" s="63">
        <v>58.3</v>
      </c>
      <c r="M827" s="129">
        <v>76</v>
      </c>
      <c r="N827" s="108">
        <v>10362960.92</v>
      </c>
      <c r="O827" s="63">
        <v>0</v>
      </c>
      <c r="P827" s="62">
        <v>1061810.49</v>
      </c>
      <c r="Q827" s="63"/>
      <c r="R827" s="63"/>
      <c r="S827" s="62">
        <v>1206187.68</v>
      </c>
      <c r="T827" s="62">
        <v>8094962.75</v>
      </c>
      <c r="U827" s="63">
        <v>6468.3608562095196</v>
      </c>
      <c r="V827" s="63">
        <v>1413.2830200640001</v>
      </c>
      <c r="W827" s="59">
        <v>2024</v>
      </c>
      <c r="X827" s="69">
        <v>421077.31</v>
      </c>
      <c r="Y827" s="69">
        <f>+(K827*9.1+L827*18.19)*12</f>
        <v>187675.04399999999</v>
      </c>
      <c r="AA827" s="70" t="e">
        <v>#REF!</v>
      </c>
      <c r="AD827" s="70" t="e">
        <v>#REF!</v>
      </c>
      <c r="AP827" s="61">
        <f>+N827-'Приложение №2'!E827</f>
        <v>-7.7332649379968643E-3</v>
      </c>
      <c r="AQ827" s="65">
        <f>687400.81-R358</f>
        <v>-184072.7699999999</v>
      </c>
      <c r="AR827" s="3">
        <f>+(K827*10.5+L827*21)*12*0.85</f>
        <v>184072.77</v>
      </c>
      <c r="AS827" s="3">
        <f>+(K827*10.5+L827*21)*12*30-S358</f>
        <v>4607413.6931897085</v>
      </c>
      <c r="AT827" s="6">
        <f t="shared" si="212"/>
        <v>-3401226.0131897088</v>
      </c>
      <c r="AU827" s="6" t="e">
        <v>#REF!</v>
      </c>
      <c r="AV827" s="6" t="e">
        <v>#REF!</v>
      </c>
      <c r="AW827" s="110">
        <f t="shared" si="207"/>
        <v>10362960.927733265</v>
      </c>
      <c r="AX827" s="55">
        <v>6974205.8600000003</v>
      </c>
      <c r="AY827" s="55"/>
      <c r="AZ827" s="55"/>
      <c r="BA827" s="55">
        <v>3042760.85</v>
      </c>
      <c r="BB827" s="55">
        <v>0</v>
      </c>
      <c r="BC827" s="55"/>
      <c r="BD827" s="55">
        <v>189247.51092296999</v>
      </c>
      <c r="BE827" s="55"/>
      <c r="BF827" s="55"/>
      <c r="BG827" s="55"/>
      <c r="BH827" s="55"/>
      <c r="BI827" s="55"/>
      <c r="BJ827" s="55"/>
      <c r="BK827" s="63"/>
      <c r="BL827" s="64">
        <v>156746.70681029299</v>
      </c>
      <c r="BM827" s="110">
        <f t="shared" si="208"/>
        <v>10362960.927733265</v>
      </c>
      <c r="BN827" s="55">
        <v>6974205.8600000003</v>
      </c>
      <c r="BO827" s="55"/>
      <c r="BP827" s="55"/>
      <c r="BQ827" s="55">
        <v>3042760.85</v>
      </c>
      <c r="BR827" s="55">
        <v>0</v>
      </c>
      <c r="BS827" s="55"/>
      <c r="BT827" s="55">
        <v>189247.51092296999</v>
      </c>
      <c r="BU827" s="55"/>
      <c r="BV827" s="55"/>
      <c r="BW827" s="55"/>
      <c r="BX827" s="55"/>
      <c r="BY827" s="55"/>
      <c r="BZ827" s="55"/>
      <c r="CA827" s="63"/>
      <c r="CB827" s="64">
        <v>156746.70681029299</v>
      </c>
      <c r="CD827" s="75"/>
      <c r="CE827" s="6"/>
    </row>
    <row r="828" spans="1:84" s="69" customFormat="1" x14ac:dyDescent="0.25">
      <c r="A828" s="105">
        <f t="shared" si="209"/>
        <v>806</v>
      </c>
      <c r="B828" s="106">
        <f t="shared" si="206"/>
        <v>346</v>
      </c>
      <c r="C828" s="107" t="s">
        <v>423</v>
      </c>
      <c r="D828" s="107" t="s">
        <v>426</v>
      </c>
      <c r="E828" s="128" t="s">
        <v>425</v>
      </c>
      <c r="F828" s="128" t="s">
        <v>425</v>
      </c>
      <c r="G828" s="128" t="s">
        <v>64</v>
      </c>
      <c r="H828" s="128" t="s">
        <v>184</v>
      </c>
      <c r="I828" s="128" t="s">
        <v>184</v>
      </c>
      <c r="J828" s="63">
        <v>2747.6</v>
      </c>
      <c r="K828" s="63">
        <v>2270.63</v>
      </c>
      <c r="L828" s="63">
        <v>217.6</v>
      </c>
      <c r="M828" s="129">
        <v>95</v>
      </c>
      <c r="N828" s="108">
        <v>4333951.7</v>
      </c>
      <c r="O828" s="63">
        <v>0</v>
      </c>
      <c r="P828" s="62">
        <v>1455759.21</v>
      </c>
      <c r="Q828" s="63"/>
      <c r="R828" s="62">
        <v>289794.39</v>
      </c>
      <c r="S828" s="62">
        <v>2588398.1</v>
      </c>
      <c r="T828" s="63"/>
      <c r="U828" s="63">
        <v>1908.70009658493</v>
      </c>
      <c r="V828" s="63">
        <v>1414.2830200640001</v>
      </c>
      <c r="W828" s="59">
        <v>2024</v>
      </c>
      <c r="X828" s="69">
        <v>551877.51</v>
      </c>
      <c r="Y828" s="69">
        <f>+(K828*9.1+L828*18.19)*12</f>
        <v>295450.52399999998</v>
      </c>
      <c r="AA828" s="70" t="e">
        <v>#REF!</v>
      </c>
      <c r="AD828" s="70" t="e">
        <v>#REF!</v>
      </c>
      <c r="AP828" s="61">
        <f>+N828-'Приложение №2'!E828</f>
        <v>-3.086356446146965E-4</v>
      </c>
      <c r="AQ828" s="65">
        <f>878513.45-R359</f>
        <v>-289794.39300000016</v>
      </c>
      <c r="AR828" s="3">
        <f>+(K828*10.5+L828*21)*12*0.85</f>
        <v>289794.39299999998</v>
      </c>
      <c r="AS828" s="3">
        <f>+(K828*10.5+L828*21)*12*30-S359</f>
        <v>5332843.1526913606</v>
      </c>
      <c r="AT828" s="6">
        <f t="shared" si="212"/>
        <v>-2744445.0526913605</v>
      </c>
      <c r="AU828" s="6" t="e">
        <v>#REF!</v>
      </c>
      <c r="AV828" s="6" t="e">
        <v>#REF!</v>
      </c>
      <c r="AW828" s="110">
        <f t="shared" si="207"/>
        <v>4333951.7003086358</v>
      </c>
      <c r="AX828" s="55"/>
      <c r="AY828" s="55"/>
      <c r="AZ828" s="55"/>
      <c r="BA828" s="55">
        <v>3971592.55</v>
      </c>
      <c r="BB828" s="55"/>
      <c r="BC828" s="55"/>
      <c r="BD828" s="55"/>
      <c r="BE828" s="55"/>
      <c r="BF828" s="55"/>
      <c r="BG828" s="55"/>
      <c r="BH828" s="55"/>
      <c r="BI828" s="55"/>
      <c r="BJ828" s="55"/>
      <c r="BK828" s="63"/>
      <c r="BL828" s="64">
        <v>362359.15030863602</v>
      </c>
      <c r="BM828" s="110">
        <f t="shared" si="208"/>
        <v>4333951.7003086358</v>
      </c>
      <c r="BN828" s="55"/>
      <c r="BO828" s="55"/>
      <c r="BP828" s="55"/>
      <c r="BQ828" s="55">
        <v>3971592.55</v>
      </c>
      <c r="BR828" s="55"/>
      <c r="BS828" s="55"/>
      <c r="BT828" s="55"/>
      <c r="BU828" s="55"/>
      <c r="BV828" s="55"/>
      <c r="BW828" s="55"/>
      <c r="BX828" s="55"/>
      <c r="BY828" s="55"/>
      <c r="BZ828" s="55"/>
      <c r="CA828" s="63"/>
      <c r="CB828" s="64">
        <v>362359.15030863602</v>
      </c>
      <c r="CD828" s="75"/>
      <c r="CE828" s="6"/>
    </row>
    <row r="829" spans="1:84" s="69" customFormat="1" x14ac:dyDescent="0.25">
      <c r="A829" s="105">
        <f t="shared" si="209"/>
        <v>807</v>
      </c>
      <c r="B829" s="106">
        <f t="shared" si="206"/>
        <v>347</v>
      </c>
      <c r="C829" s="107" t="s">
        <v>423</v>
      </c>
      <c r="D829" s="107" t="s">
        <v>428</v>
      </c>
      <c r="E829" s="128" t="s">
        <v>429</v>
      </c>
      <c r="F829" s="128" t="s">
        <v>429</v>
      </c>
      <c r="G829" s="128" t="s">
        <v>64</v>
      </c>
      <c r="H829" s="128" t="s">
        <v>101</v>
      </c>
      <c r="I829" s="128" t="s">
        <v>184</v>
      </c>
      <c r="J829" s="63">
        <v>3412.5</v>
      </c>
      <c r="K829" s="63">
        <v>2249.4</v>
      </c>
      <c r="L829" s="63">
        <v>936.2</v>
      </c>
      <c r="M829" s="129">
        <v>105</v>
      </c>
      <c r="N829" s="108">
        <v>5639075.9199999999</v>
      </c>
      <c r="O829" s="63">
        <v>0</v>
      </c>
      <c r="P829" s="62">
        <v>4241300.12</v>
      </c>
      <c r="Q829" s="63"/>
      <c r="R829" s="62">
        <v>441444.78</v>
      </c>
      <c r="S829" s="63"/>
      <c r="T829" s="62">
        <v>956331.02</v>
      </c>
      <c r="U829" s="63">
        <v>2506.92447791321</v>
      </c>
      <c r="V829" s="63">
        <v>1416.2830200640001</v>
      </c>
      <c r="W829" s="59">
        <v>2024</v>
      </c>
      <c r="X829" s="69">
        <v>550816.85</v>
      </c>
      <c r="Y829" s="69">
        <f>+(K829*9.1+L829*18.19)*12</f>
        <v>449988.21600000001</v>
      </c>
      <c r="AA829" s="70" t="e">
        <v>#REF!</v>
      </c>
      <c r="AD829" s="70" t="e">
        <v>#REF!</v>
      </c>
      <c r="AP829" s="61">
        <f>+N829-'Приложение №2'!E829</f>
        <v>-6.1798095703125E-4</v>
      </c>
      <c r="AQ829" s="65">
        <f>906295.96-R361</f>
        <v>396556.24389285594</v>
      </c>
      <c r="AR829" s="3">
        <f>+(K829*10.5+L829*21)*12*0.85</f>
        <v>441444.78</v>
      </c>
      <c r="AS829" s="3">
        <f>+(K829*10.5+L829*21)*12*30-S361</f>
        <v>839181.8054892011</v>
      </c>
      <c r="AT829" s="6">
        <f t="shared" si="212"/>
        <v>-839181.8054892011</v>
      </c>
      <c r="AU829" s="6" t="e">
        <v>#REF!</v>
      </c>
      <c r="AV829" s="6" t="e">
        <v>#REF!</v>
      </c>
      <c r="AW829" s="110">
        <f t="shared" si="207"/>
        <v>5639075.9206179809</v>
      </c>
      <c r="AX829" s="55"/>
      <c r="AY829" s="55"/>
      <c r="AZ829" s="55"/>
      <c r="BA829" s="55">
        <v>4936837.75</v>
      </c>
      <c r="BB829" s="55"/>
      <c r="BC829" s="55"/>
      <c r="BD829" s="55"/>
      <c r="BE829" s="55"/>
      <c r="BF829" s="55"/>
      <c r="BG829" s="55"/>
      <c r="BH829" s="55"/>
      <c r="BI829" s="55"/>
      <c r="BJ829" s="55"/>
      <c r="BK829" s="63"/>
      <c r="BL829" s="64">
        <v>702238.170617981</v>
      </c>
      <c r="BM829" s="110">
        <f t="shared" si="208"/>
        <v>5639075.9206179809</v>
      </c>
      <c r="BN829" s="55"/>
      <c r="BO829" s="55"/>
      <c r="BP829" s="55"/>
      <c r="BQ829" s="55">
        <v>4936837.75</v>
      </c>
      <c r="BR829" s="55"/>
      <c r="BS829" s="55"/>
      <c r="BT829" s="55"/>
      <c r="BU829" s="55"/>
      <c r="BV829" s="55"/>
      <c r="BW829" s="55"/>
      <c r="BX829" s="55"/>
      <c r="BY829" s="55"/>
      <c r="BZ829" s="55"/>
      <c r="CA829" s="63"/>
      <c r="CB829" s="64">
        <v>702238.170617981</v>
      </c>
      <c r="CD829" s="75"/>
      <c r="CE829" s="6"/>
    </row>
    <row r="830" spans="1:84" s="69" customFormat="1" x14ac:dyDescent="0.25">
      <c r="A830" s="105">
        <f t="shared" si="209"/>
        <v>808</v>
      </c>
      <c r="B830" s="106">
        <f t="shared" si="206"/>
        <v>348</v>
      </c>
      <c r="C830" s="107" t="s">
        <v>423</v>
      </c>
      <c r="D830" s="107" t="s">
        <v>432</v>
      </c>
      <c r="E830" s="128" t="s">
        <v>433</v>
      </c>
      <c r="F830" s="128" t="s">
        <v>433</v>
      </c>
      <c r="G830" s="128" t="s">
        <v>64</v>
      </c>
      <c r="H830" s="128">
        <v>5</v>
      </c>
      <c r="I830" s="128" t="s">
        <v>229</v>
      </c>
      <c r="J830" s="63">
        <v>2036.3</v>
      </c>
      <c r="K830" s="63">
        <v>1337.75</v>
      </c>
      <c r="L830" s="63">
        <v>476.4</v>
      </c>
      <c r="M830" s="129">
        <v>93</v>
      </c>
      <c r="N830" s="108">
        <v>3565785.87</v>
      </c>
      <c r="O830" s="63">
        <v>0</v>
      </c>
      <c r="P830" s="62">
        <v>3320467.96</v>
      </c>
      <c r="Q830" s="63"/>
      <c r="R830" s="62">
        <v>245317.91</v>
      </c>
      <c r="S830" s="63"/>
      <c r="T830" s="63"/>
      <c r="U830" s="63">
        <v>2665.5098946159501</v>
      </c>
      <c r="V830" s="63">
        <v>1418.2830200640001</v>
      </c>
      <c r="W830" s="59">
        <v>2024</v>
      </c>
      <c r="X830" s="69">
        <v>322443.77</v>
      </c>
      <c r="Y830" s="69">
        <f>+(K830*9.1+L830*18.19)*12</f>
        <v>250070.89200000002</v>
      </c>
      <c r="AA830" s="70" t="e">
        <v>#REF!</v>
      </c>
      <c r="AD830" s="70" t="e">
        <v>#REF!</v>
      </c>
      <c r="AP830" s="61">
        <f>+N830-'Приложение №2'!E830</f>
        <v>8.4775201976299286E-3</v>
      </c>
      <c r="AQ830" s="65">
        <f>522102.04-R363</f>
        <v>-245317.90499999997</v>
      </c>
      <c r="AR830" s="3">
        <f>+(K830*10.5+L830*21)*12*0.85</f>
        <v>245317.90500000003</v>
      </c>
      <c r="AS830" s="3">
        <f>+(K830*10.5+L830*21)*12*30-S363</f>
        <v>-4972954.3265224975</v>
      </c>
      <c r="AT830" s="6">
        <f t="shared" si="212"/>
        <v>4972954.3265224975</v>
      </c>
      <c r="AU830" s="6" t="e">
        <v>#REF!</v>
      </c>
      <c r="AV830" s="6" t="e">
        <v>#REF!</v>
      </c>
      <c r="AW830" s="110">
        <f t="shared" si="207"/>
        <v>3565785.8615224799</v>
      </c>
      <c r="AX830" s="55"/>
      <c r="AY830" s="55"/>
      <c r="AZ830" s="55"/>
      <c r="BA830" s="55">
        <v>2879401</v>
      </c>
      <c r="BB830" s="55"/>
      <c r="BC830" s="55"/>
      <c r="BD830" s="55"/>
      <c r="BE830" s="55"/>
      <c r="BF830" s="55"/>
      <c r="BG830" s="55"/>
      <c r="BH830" s="55"/>
      <c r="BI830" s="55"/>
      <c r="BJ830" s="55"/>
      <c r="BK830" s="63"/>
      <c r="BL830" s="64">
        <v>686384.86152248003</v>
      </c>
      <c r="BM830" s="110">
        <f t="shared" si="208"/>
        <v>3565785.8615224799</v>
      </c>
      <c r="BN830" s="55"/>
      <c r="BO830" s="55"/>
      <c r="BP830" s="55"/>
      <c r="BQ830" s="55">
        <v>2879401</v>
      </c>
      <c r="BR830" s="55"/>
      <c r="BS830" s="55"/>
      <c r="BT830" s="55"/>
      <c r="BU830" s="55"/>
      <c r="BV830" s="55"/>
      <c r="BW830" s="55"/>
      <c r="BX830" s="55"/>
      <c r="BY830" s="55"/>
      <c r="BZ830" s="55"/>
      <c r="CA830" s="63"/>
      <c r="CB830" s="64">
        <v>686384.86152248003</v>
      </c>
      <c r="CD830" s="75"/>
      <c r="CE830" s="6"/>
    </row>
    <row r="831" spans="1:84" x14ac:dyDescent="0.25">
      <c r="A831" s="105">
        <f t="shared" si="209"/>
        <v>809</v>
      </c>
      <c r="B831" s="106">
        <f t="shared" si="206"/>
        <v>349</v>
      </c>
      <c r="C831" s="107" t="s">
        <v>256</v>
      </c>
      <c r="D831" s="107" t="s">
        <v>436</v>
      </c>
      <c r="E831" s="128">
        <v>1974</v>
      </c>
      <c r="F831" s="128">
        <v>1980</v>
      </c>
      <c r="G831" s="128" t="s">
        <v>64</v>
      </c>
      <c r="H831" s="128">
        <v>4</v>
      </c>
      <c r="I831" s="128">
        <v>4</v>
      </c>
      <c r="J831" s="63">
        <v>3718.5</v>
      </c>
      <c r="K831" s="63">
        <v>2628.2</v>
      </c>
      <c r="L831" s="63">
        <v>61.4</v>
      </c>
      <c r="M831" s="129">
        <v>99</v>
      </c>
      <c r="N831" s="108">
        <v>12463088.199999999</v>
      </c>
      <c r="O831" s="63"/>
      <c r="P831" s="62">
        <v>5314111.95</v>
      </c>
      <c r="Q831" s="63"/>
      <c r="R831" s="62">
        <v>703042.85</v>
      </c>
      <c r="S831" s="62">
        <v>2653187.9300000002</v>
      </c>
      <c r="T831" s="62">
        <v>3792745.47</v>
      </c>
      <c r="U831" s="63">
        <v>1389.04454330265</v>
      </c>
      <c r="V831" s="63">
        <v>1389.04454330265</v>
      </c>
      <c r="W831" s="59">
        <v>2024</v>
      </c>
      <c r="X831" s="6" t="e">
        <v>#REF!</v>
      </c>
      <c r="Z831" s="62">
        <f t="shared" ref="Z831:Z839" si="214">SUM(AA831:AO831)</f>
        <v>14517653.370000001</v>
      </c>
      <c r="AA831" s="55">
        <v>0</v>
      </c>
      <c r="AB831" s="55">
        <v>0</v>
      </c>
      <c r="AC831" s="55">
        <v>0</v>
      </c>
      <c r="AD831" s="55">
        <v>0</v>
      </c>
      <c r="AE831" s="55">
        <v>0</v>
      </c>
      <c r="AF831" s="55"/>
      <c r="AG831" s="55">
        <v>0</v>
      </c>
      <c r="AH831" s="55">
        <v>0</v>
      </c>
      <c r="AI831" s="55">
        <v>12786278.0290938</v>
      </c>
      <c r="AJ831" s="55">
        <v>0</v>
      </c>
      <c r="AK831" s="55">
        <v>0</v>
      </c>
      <c r="AL831" s="55">
        <v>0</v>
      </c>
      <c r="AM831" s="55">
        <v>1306588.8033</v>
      </c>
      <c r="AN831" s="63">
        <v>145176.5337</v>
      </c>
      <c r="AO831" s="64">
        <v>279610.0039062</v>
      </c>
      <c r="AP831" s="61">
        <f>+N831-'Приложение №2'!E831</f>
        <v>7.3067843914031982E-5</v>
      </c>
      <c r="AQ831" s="6">
        <f>1100335.2-R366</f>
        <v>-280602</v>
      </c>
      <c r="AR831" s="3">
        <f>+(K831*10+L831*20)*12*0.85</f>
        <v>280602</v>
      </c>
      <c r="AS831" s="3">
        <f>+(K831*10+L831*20)*12*30-S366</f>
        <v>6012420.5863331798</v>
      </c>
      <c r="AT831" s="6">
        <f t="shared" si="212"/>
        <v>-3359232.6563331797</v>
      </c>
      <c r="AU831" s="6" t="e">
        <v>#REF!</v>
      </c>
      <c r="AV831" s="6" t="e">
        <v>#REF!</v>
      </c>
      <c r="AW831" s="62">
        <f t="shared" si="207"/>
        <v>3735974.2036668169</v>
      </c>
      <c r="AX831" s="55"/>
      <c r="AY831" s="55"/>
      <c r="AZ831" s="55"/>
      <c r="BA831" s="55">
        <v>3072620.52</v>
      </c>
      <c r="BB831" s="55">
        <v>0</v>
      </c>
      <c r="BC831" s="55"/>
      <c r="BD831" s="55"/>
      <c r="BE831" s="55"/>
      <c r="BF831" s="55"/>
      <c r="BG831" s="55">
        <v>0</v>
      </c>
      <c r="BH831" s="55">
        <v>0</v>
      </c>
      <c r="BI831" s="55">
        <v>0</v>
      </c>
      <c r="BJ831" s="55"/>
      <c r="BK831" s="63"/>
      <c r="BL831" s="64">
        <v>663353.68366681703</v>
      </c>
      <c r="BM831" s="62">
        <f t="shared" si="208"/>
        <v>3735974.2036668169</v>
      </c>
      <c r="BN831" s="55"/>
      <c r="BO831" s="55"/>
      <c r="BP831" s="55"/>
      <c r="BQ831" s="55">
        <v>3072620.52</v>
      </c>
      <c r="BR831" s="55">
        <v>0</v>
      </c>
      <c r="BS831" s="55"/>
      <c r="BT831" s="55"/>
      <c r="BU831" s="55"/>
      <c r="BV831" s="55"/>
      <c r="BW831" s="55">
        <v>0</v>
      </c>
      <c r="BX831" s="55">
        <v>0</v>
      </c>
      <c r="BY831" s="55">
        <v>0</v>
      </c>
      <c r="BZ831" s="55"/>
      <c r="CA831" s="63"/>
      <c r="CB831" s="64">
        <v>663353.68366681703</v>
      </c>
      <c r="CD831" s="75"/>
      <c r="CE831" s="6"/>
    </row>
    <row r="832" spans="1:84" x14ac:dyDescent="0.25">
      <c r="A832" s="105">
        <f t="shared" si="209"/>
        <v>810</v>
      </c>
      <c r="B832" s="106">
        <f t="shared" si="206"/>
        <v>350</v>
      </c>
      <c r="C832" s="53" t="s">
        <v>256</v>
      </c>
      <c r="D832" s="53" t="s">
        <v>258</v>
      </c>
      <c r="E832" s="54">
        <v>1986</v>
      </c>
      <c r="F832" s="54">
        <v>1986</v>
      </c>
      <c r="G832" s="54" t="s">
        <v>64</v>
      </c>
      <c r="H832" s="54">
        <v>4</v>
      </c>
      <c r="I832" s="54">
        <v>4</v>
      </c>
      <c r="J832" s="55">
        <v>3420.4</v>
      </c>
      <c r="K832" s="55">
        <v>2641.9</v>
      </c>
      <c r="L832" s="55">
        <v>0</v>
      </c>
      <c r="M832" s="56">
        <v>102</v>
      </c>
      <c r="N832" s="112">
        <v>7852669.3499999996</v>
      </c>
      <c r="O832" s="55"/>
      <c r="P832" s="63"/>
      <c r="Q832" s="63"/>
      <c r="R832" s="62">
        <v>1454282.82</v>
      </c>
      <c r="S832" s="62">
        <v>6398386.5300000003</v>
      </c>
      <c r="T832" s="63"/>
      <c r="U832" s="55">
        <v>2972.3567682395201</v>
      </c>
      <c r="V832" s="55">
        <v>2972.3567682395201</v>
      </c>
      <c r="W832" s="59">
        <v>2024</v>
      </c>
      <c r="X832" s="6" t="e">
        <v>#REF!</v>
      </c>
      <c r="Z832" s="62">
        <f t="shared" si="214"/>
        <v>21968812.859999999</v>
      </c>
      <c r="AA832" s="55">
        <v>0</v>
      </c>
      <c r="AB832" s="55">
        <v>0</v>
      </c>
      <c r="AC832" s="55">
        <v>0</v>
      </c>
      <c r="AD832" s="55">
        <v>0</v>
      </c>
      <c r="AE832" s="55">
        <v>0</v>
      </c>
      <c r="AF832" s="55"/>
      <c r="AG832" s="55">
        <v>0</v>
      </c>
      <c r="AH832" s="55">
        <v>0</v>
      </c>
      <c r="AI832" s="55">
        <v>12571294.6707264</v>
      </c>
      <c r="AJ832" s="55">
        <v>0</v>
      </c>
      <c r="AK832" s="55">
        <v>0</v>
      </c>
      <c r="AL832" s="55">
        <v>6702211.8168390002</v>
      </c>
      <c r="AM832" s="55">
        <v>2054145.6924000001</v>
      </c>
      <c r="AN832" s="63">
        <v>219688.1286</v>
      </c>
      <c r="AO832" s="64">
        <v>421472.55143460003</v>
      </c>
      <c r="AP832" s="61">
        <f>+N832-'Приложение №2'!E832</f>
        <v>3.9879996329545975E-3</v>
      </c>
      <c r="AQ832" s="1">
        <v>1184809.02</v>
      </c>
      <c r="AR832" s="3">
        <f>+(K832*10+L832*20)*12*0.85</f>
        <v>269473.8</v>
      </c>
      <c r="AS832" s="3">
        <f>+(K832*10+L832*20)*12*30</f>
        <v>9510840</v>
      </c>
      <c r="AT832" s="6">
        <f t="shared" si="212"/>
        <v>-3112453.4699999997</v>
      </c>
      <c r="AU832" s="6" t="e">
        <v>#REF!</v>
      </c>
      <c r="AV832" s="6" t="e">
        <v>#REF!</v>
      </c>
      <c r="AW832" s="62">
        <f t="shared" si="207"/>
        <v>7852669.346012</v>
      </c>
      <c r="AX832" s="55">
        <v>0</v>
      </c>
      <c r="AY832" s="55">
        <v>0</v>
      </c>
      <c r="AZ832" s="55">
        <v>0</v>
      </c>
      <c r="BA832" s="55">
        <v>0</v>
      </c>
      <c r="BB832" s="55">
        <v>0</v>
      </c>
      <c r="BC832" s="55"/>
      <c r="BD832" s="55"/>
      <c r="BE832" s="55">
        <v>0</v>
      </c>
      <c r="BF832" s="55"/>
      <c r="BG832" s="55">
        <v>0</v>
      </c>
      <c r="BH832" s="55">
        <v>0</v>
      </c>
      <c r="BI832" s="55">
        <v>7388743.1422140002</v>
      </c>
      <c r="BJ832" s="55"/>
      <c r="BK832" s="63"/>
      <c r="BL832" s="111">
        <v>463926.203798</v>
      </c>
      <c r="BM832" s="62">
        <f t="shared" si="208"/>
        <v>7852669.346012</v>
      </c>
      <c r="BN832" s="55">
        <v>0</v>
      </c>
      <c r="BO832" s="55">
        <v>0</v>
      </c>
      <c r="BP832" s="55">
        <v>0</v>
      </c>
      <c r="BQ832" s="55">
        <v>0</v>
      </c>
      <c r="BR832" s="55">
        <v>0</v>
      </c>
      <c r="BS832" s="55"/>
      <c r="BT832" s="55"/>
      <c r="BU832" s="55">
        <v>0</v>
      </c>
      <c r="BV832" s="55"/>
      <c r="BW832" s="55">
        <v>0</v>
      </c>
      <c r="BX832" s="55">
        <v>0</v>
      </c>
      <c r="BY832" s="55">
        <v>7388743.1422140002</v>
      </c>
      <c r="BZ832" s="55"/>
      <c r="CA832" s="63"/>
      <c r="CB832" s="64">
        <v>463926.203798</v>
      </c>
      <c r="CD832" s="75"/>
      <c r="CE832" s="6"/>
    </row>
    <row r="833" spans="1:84" x14ac:dyDescent="0.25">
      <c r="A833" s="105">
        <f t="shared" si="209"/>
        <v>811</v>
      </c>
      <c r="B833" s="106">
        <f t="shared" si="206"/>
        <v>351</v>
      </c>
      <c r="C833" s="53" t="s">
        <v>746</v>
      </c>
      <c r="D833" s="53" t="s">
        <v>747</v>
      </c>
      <c r="E833" s="54">
        <v>1978</v>
      </c>
      <c r="F833" s="54">
        <v>2012</v>
      </c>
      <c r="G833" s="54" t="s">
        <v>64</v>
      </c>
      <c r="H833" s="54">
        <v>2</v>
      </c>
      <c r="I833" s="54">
        <v>2</v>
      </c>
      <c r="J833" s="55">
        <v>490.77</v>
      </c>
      <c r="K833" s="55">
        <v>162.07</v>
      </c>
      <c r="L833" s="55">
        <v>0</v>
      </c>
      <c r="M833" s="56">
        <v>12</v>
      </c>
      <c r="N833" s="112">
        <v>16872412.73</v>
      </c>
      <c r="O833" s="63"/>
      <c r="P833" s="62">
        <v>4321863.6399999997</v>
      </c>
      <c r="Q833" s="63"/>
      <c r="R833" s="62">
        <v>199998.12</v>
      </c>
      <c r="S833" s="62">
        <v>583452</v>
      </c>
      <c r="T833" s="62">
        <v>11767098.970000001</v>
      </c>
      <c r="U833" s="63">
        <v>104344.341333991</v>
      </c>
      <c r="V833" s="63">
        <v>104344.341333991</v>
      </c>
      <c r="W833" s="59">
        <v>2024</v>
      </c>
      <c r="X833" s="6" t="e">
        <v>#REF!</v>
      </c>
      <c r="Z833" s="62">
        <f t="shared" si="214"/>
        <v>16858412.73</v>
      </c>
      <c r="AA833" s="55">
        <v>1683565.8969640001</v>
      </c>
      <c r="AB833" s="55">
        <v>1040219.4703179999</v>
      </c>
      <c r="AC833" s="55">
        <v>488517.72999399999</v>
      </c>
      <c r="AD833" s="55">
        <v>423331.30508199998</v>
      </c>
      <c r="AE833" s="55">
        <v>0</v>
      </c>
      <c r="AF833" s="55"/>
      <c r="AG833" s="55">
        <v>147640.393614</v>
      </c>
      <c r="AH833" s="55">
        <v>0</v>
      </c>
      <c r="AI833" s="55">
        <v>4805741.3532100003</v>
      </c>
      <c r="AJ833" s="55">
        <v>0</v>
      </c>
      <c r="AK833" s="55">
        <v>4013795.974678</v>
      </c>
      <c r="AL833" s="55">
        <v>3549227.0136119998</v>
      </c>
      <c r="AM833" s="55">
        <v>314486.53999999998</v>
      </c>
      <c r="AN833" s="55">
        <v>38674.67</v>
      </c>
      <c r="AO833" s="64">
        <v>353212.38252799999</v>
      </c>
      <c r="AP833" s="61">
        <f>+N833-'Приложение №2'!E833</f>
        <v>0</v>
      </c>
      <c r="AQ833" s="1">
        <v>183466.98</v>
      </c>
      <c r="AR833" s="3">
        <f>+(K833*10+L833*20)*12*0.85</f>
        <v>16531.14</v>
      </c>
      <c r="AS833" s="3">
        <f>+(K833*10+L833*20)*12*30</f>
        <v>583451.99999999988</v>
      </c>
      <c r="AT833" s="6">
        <f t="shared" si="212"/>
        <v>0</v>
      </c>
      <c r="AU833" s="6" t="e">
        <v>#REF!</v>
      </c>
      <c r="AV833" s="6" t="e">
        <v>#REF!</v>
      </c>
      <c r="AW833" s="62">
        <f t="shared" si="207"/>
        <v>16911087.400000002</v>
      </c>
      <c r="AX833" s="55">
        <v>1683565.8969640001</v>
      </c>
      <c r="AY833" s="55">
        <v>1040219.4703179999</v>
      </c>
      <c r="AZ833" s="55">
        <v>488517.72999399999</v>
      </c>
      <c r="BA833" s="55">
        <v>423331.30508199998</v>
      </c>
      <c r="BB833" s="55">
        <v>0</v>
      </c>
      <c r="BC833" s="55"/>
      <c r="BD833" s="55">
        <v>147640.393614</v>
      </c>
      <c r="BE833" s="55">
        <v>0</v>
      </c>
      <c r="BF833" s="55">
        <v>4805741.3532100003</v>
      </c>
      <c r="BG833" s="55">
        <v>0</v>
      </c>
      <c r="BH833" s="55">
        <v>4013795.974678</v>
      </c>
      <c r="BI833" s="55">
        <v>3549227.0136119998</v>
      </c>
      <c r="BJ833" s="55">
        <v>367161.21</v>
      </c>
      <c r="BK833" s="55">
        <f>38674.67</f>
        <v>38674.67</v>
      </c>
      <c r="BL833" s="111">
        <v>353212.38252799999</v>
      </c>
      <c r="BM833" s="62">
        <f t="shared" si="208"/>
        <v>16911087.400000002</v>
      </c>
      <c r="BN833" s="55">
        <v>1683565.8969640001</v>
      </c>
      <c r="BO833" s="55">
        <v>1040219.4703179999</v>
      </c>
      <c r="BP833" s="55">
        <v>488517.72999399999</v>
      </c>
      <c r="BQ833" s="55">
        <v>423331.30508199998</v>
      </c>
      <c r="BR833" s="55">
        <v>0</v>
      </c>
      <c r="BS833" s="55"/>
      <c r="BT833" s="55">
        <v>147640.393614</v>
      </c>
      <c r="BU833" s="55">
        <v>0</v>
      </c>
      <c r="BV833" s="55">
        <v>4805741.3532100003</v>
      </c>
      <c r="BW833" s="55">
        <v>0</v>
      </c>
      <c r="BX833" s="55">
        <v>4013795.974678</v>
      </c>
      <c r="BY833" s="55">
        <v>3549227.0136119998</v>
      </c>
      <c r="BZ833" s="55">
        <v>367161.21</v>
      </c>
      <c r="CA833" s="55">
        <f>38674.67</f>
        <v>38674.67</v>
      </c>
      <c r="CB833" s="64">
        <v>353212.38252799999</v>
      </c>
      <c r="CD833" s="171"/>
      <c r="CE833" s="6"/>
    </row>
    <row r="834" spans="1:84" x14ac:dyDescent="0.25">
      <c r="A834" s="105">
        <f t="shared" si="209"/>
        <v>812</v>
      </c>
      <c r="B834" s="106">
        <f t="shared" si="206"/>
        <v>352</v>
      </c>
      <c r="C834" s="107" t="s">
        <v>437</v>
      </c>
      <c r="D834" s="107" t="s">
        <v>748</v>
      </c>
      <c r="E834" s="128">
        <v>1980</v>
      </c>
      <c r="F834" s="128">
        <v>2013</v>
      </c>
      <c r="G834" s="128" t="s">
        <v>439</v>
      </c>
      <c r="H834" s="128">
        <v>1</v>
      </c>
      <c r="I834" s="128">
        <v>2</v>
      </c>
      <c r="J834" s="63">
        <v>418.7</v>
      </c>
      <c r="K834" s="63">
        <v>397.3</v>
      </c>
      <c r="L834" s="63">
        <v>0</v>
      </c>
      <c r="M834" s="129">
        <v>19</v>
      </c>
      <c r="N834" s="108">
        <v>7117011.96</v>
      </c>
      <c r="O834" s="63"/>
      <c r="P834" s="62">
        <v>992724.08</v>
      </c>
      <c r="Q834" s="63"/>
      <c r="R834" s="62">
        <v>210005.6</v>
      </c>
      <c r="S834" s="62">
        <v>355662.96</v>
      </c>
      <c r="T834" s="62">
        <v>5558619.3200000003</v>
      </c>
      <c r="U834" s="63">
        <v>10885.508967150199</v>
      </c>
      <c r="V834" s="63">
        <v>1421.2830200640001</v>
      </c>
      <c r="W834" s="59">
        <v>2024</v>
      </c>
      <c r="X834" s="6" t="e">
        <v>#REF!</v>
      </c>
      <c r="Z834" s="62">
        <f t="shared" si="214"/>
        <v>6552939.6500000004</v>
      </c>
      <c r="AA834" s="55">
        <v>0</v>
      </c>
      <c r="AB834" s="55">
        <v>0</v>
      </c>
      <c r="AC834" s="55">
        <v>0</v>
      </c>
      <c r="AD834" s="55">
        <v>0</v>
      </c>
      <c r="AE834" s="55">
        <v>0</v>
      </c>
      <c r="AF834" s="55"/>
      <c r="AG834" s="55">
        <v>0</v>
      </c>
      <c r="AH834" s="55">
        <v>0</v>
      </c>
      <c r="AI834" s="55">
        <v>2736680.7350400002</v>
      </c>
      <c r="AJ834" s="55">
        <v>0</v>
      </c>
      <c r="AK834" s="55">
        <v>0</v>
      </c>
      <c r="AL834" s="55">
        <v>3525835.391022</v>
      </c>
      <c r="AM834" s="55">
        <v>108678.99</v>
      </c>
      <c r="AN834" s="63">
        <v>44795.99</v>
      </c>
      <c r="AO834" s="64">
        <v>136948.54393799999</v>
      </c>
      <c r="AP834" s="61">
        <f>+N834-'Приложение №2'!E834</f>
        <v>3.5994378849864006E-3</v>
      </c>
      <c r="AQ834" s="6" t="e">
        <f>185510.57-#REF!</f>
        <v>#REF!</v>
      </c>
      <c r="AR834" s="3">
        <f>+(K834*7.46+L834*20.48)*12*0.85</f>
        <v>30231.351600000002</v>
      </c>
      <c r="AS834" s="3" t="e">
        <f>+(K834*7.46+L834*20.48)*12*10-#REF!</f>
        <v>#REF!</v>
      </c>
      <c r="AT834" s="6" t="e">
        <f t="shared" si="212"/>
        <v>#REF!</v>
      </c>
      <c r="AU834" s="6" t="e">
        <v>#REF!</v>
      </c>
      <c r="AV834" s="6" t="e">
        <v>#REF!</v>
      </c>
      <c r="AW834" s="110">
        <f t="shared" si="207"/>
        <v>4324812.7126487624</v>
      </c>
      <c r="AX834" s="55">
        <v>0</v>
      </c>
      <c r="AY834" s="55">
        <v>0</v>
      </c>
      <c r="AZ834" s="1">
        <v>0</v>
      </c>
      <c r="BA834" s="1">
        <v>0</v>
      </c>
      <c r="BB834" s="55">
        <v>0</v>
      </c>
      <c r="BC834" s="55"/>
      <c r="BD834" s="55"/>
      <c r="BE834" s="55">
        <v>0</v>
      </c>
      <c r="BF834" s="55"/>
      <c r="BG834" s="55">
        <v>0</v>
      </c>
      <c r="BH834" s="55">
        <v>0</v>
      </c>
      <c r="BI834" s="55">
        <v>4233749.7474075202</v>
      </c>
      <c r="BJ834" s="55"/>
      <c r="BK834" s="63"/>
      <c r="BL834" s="64">
        <v>91062.9652412422</v>
      </c>
      <c r="BM834" s="110">
        <f t="shared" si="208"/>
        <v>4324812.7126487624</v>
      </c>
      <c r="BN834" s="55">
        <v>0</v>
      </c>
      <c r="BO834" s="55">
        <v>0</v>
      </c>
      <c r="BP834" s="1">
        <v>0</v>
      </c>
      <c r="BQ834" s="1">
        <v>0</v>
      </c>
      <c r="BR834" s="55">
        <v>0</v>
      </c>
      <c r="BS834" s="55"/>
      <c r="BT834" s="55"/>
      <c r="BU834" s="55">
        <v>0</v>
      </c>
      <c r="BV834" s="55"/>
      <c r="BW834" s="55">
        <v>0</v>
      </c>
      <c r="BX834" s="55">
        <v>0</v>
      </c>
      <c r="BY834" s="55">
        <v>4233749.7474075202</v>
      </c>
      <c r="BZ834" s="55"/>
      <c r="CA834" s="63"/>
      <c r="CB834" s="64">
        <v>91062.9652412422</v>
      </c>
      <c r="CD834" s="75"/>
      <c r="CE834" s="6"/>
    </row>
    <row r="835" spans="1:84" x14ac:dyDescent="0.25">
      <c r="A835" s="105">
        <f t="shared" si="209"/>
        <v>813</v>
      </c>
      <c r="B835" s="106">
        <f t="shared" si="206"/>
        <v>353</v>
      </c>
      <c r="C835" s="53" t="s">
        <v>437</v>
      </c>
      <c r="D835" s="53" t="s">
        <v>749</v>
      </c>
      <c r="E835" s="54">
        <v>1975</v>
      </c>
      <c r="F835" s="54">
        <v>2009</v>
      </c>
      <c r="G835" s="54" t="s">
        <v>439</v>
      </c>
      <c r="H835" s="54">
        <v>2</v>
      </c>
      <c r="I835" s="54">
        <v>3</v>
      </c>
      <c r="J835" s="55">
        <v>588.92999999999995</v>
      </c>
      <c r="K835" s="55">
        <v>526.89</v>
      </c>
      <c r="L835" s="55">
        <v>0</v>
      </c>
      <c r="M835" s="56">
        <v>25</v>
      </c>
      <c r="N835" s="112">
        <v>6636678.46</v>
      </c>
      <c r="O835" s="55"/>
      <c r="P835" s="62">
        <v>2000136.02</v>
      </c>
      <c r="Q835" s="63"/>
      <c r="R835" s="62">
        <v>216869.56</v>
      </c>
      <c r="S835" s="62">
        <v>448910.28</v>
      </c>
      <c r="T835" s="62">
        <v>3970762.6</v>
      </c>
      <c r="U835" s="55">
        <v>12595.9468959365</v>
      </c>
      <c r="V835" s="55">
        <v>12595.9468959365</v>
      </c>
      <c r="W835" s="59">
        <v>2024</v>
      </c>
      <c r="X835" s="6" t="e">
        <v>#REF!</v>
      </c>
      <c r="Z835" s="62">
        <f t="shared" si="214"/>
        <v>6793335.0199999996</v>
      </c>
      <c r="AA835" s="55">
        <v>1320658.3173839999</v>
      </c>
      <c r="AB835" s="55">
        <v>0</v>
      </c>
      <c r="AC835" s="55">
        <v>0</v>
      </c>
      <c r="AD835" s="55">
        <v>737257.57992599998</v>
      </c>
      <c r="AE835" s="55">
        <v>0</v>
      </c>
      <c r="AF835" s="55"/>
      <c r="AG835" s="55">
        <v>0</v>
      </c>
      <c r="AH835" s="55">
        <v>0</v>
      </c>
      <c r="AI835" s="55">
        <v>1613252.1332340001</v>
      </c>
      <c r="AJ835" s="55">
        <v>0</v>
      </c>
      <c r="AK835" s="55">
        <v>2823485.5104120001</v>
      </c>
      <c r="AL835" s="55">
        <v>0</v>
      </c>
      <c r="AM835" s="55">
        <v>126656.56</v>
      </c>
      <c r="AN835" s="63">
        <v>30000</v>
      </c>
      <c r="AO835" s="64">
        <v>142024.91904400001</v>
      </c>
      <c r="AP835" s="61">
        <f>+N835-'Приложение №2'!E835</f>
        <v>0</v>
      </c>
      <c r="AQ835" s="1">
        <v>178712.19</v>
      </c>
      <c r="AR835" s="3">
        <f>+(K835*7.1+L835*19.5)*12*0.85</f>
        <v>38157.373800000001</v>
      </c>
      <c r="AS835" s="3">
        <f>+(K835*7.1+L835*19.5)*12*10</f>
        <v>448910.27999999997</v>
      </c>
      <c r="AT835" s="6">
        <f t="shared" si="212"/>
        <v>0</v>
      </c>
      <c r="AU835" s="6" t="e">
        <v>#REF!</v>
      </c>
      <c r="AV835" s="6" t="e">
        <v>#REF!</v>
      </c>
      <c r="AW835" s="62">
        <f t="shared" si="207"/>
        <v>6636678.46</v>
      </c>
      <c r="AX835" s="55">
        <v>1320658.3173839999</v>
      </c>
      <c r="AY835" s="55">
        <v>0</v>
      </c>
      <c r="AZ835" s="55">
        <v>0</v>
      </c>
      <c r="BA835" s="55">
        <v>737257.57992599998</v>
      </c>
      <c r="BB835" s="55">
        <v>0</v>
      </c>
      <c r="BC835" s="55"/>
      <c r="BD835" s="55"/>
      <c r="BE835" s="55">
        <v>0</v>
      </c>
      <c r="BF835" s="55">
        <v>1613252.1332340001</v>
      </c>
      <c r="BG835" s="55">
        <v>0</v>
      </c>
      <c r="BH835" s="55">
        <v>2823485.5104120001</v>
      </c>
      <c r="BI835" s="55">
        <v>0</v>
      </c>
      <c r="BJ835" s="55"/>
      <c r="BK835" s="63"/>
      <c r="BL835" s="111">
        <v>142024.91904400001</v>
      </c>
      <c r="BM835" s="62">
        <f t="shared" si="208"/>
        <v>6636678.46</v>
      </c>
      <c r="BN835" s="55">
        <v>1320658.3173839999</v>
      </c>
      <c r="BO835" s="55">
        <v>0</v>
      </c>
      <c r="BP835" s="55">
        <v>0</v>
      </c>
      <c r="BQ835" s="55">
        <v>737257.57992599998</v>
      </c>
      <c r="BR835" s="55">
        <v>0</v>
      </c>
      <c r="BS835" s="55"/>
      <c r="BT835" s="55"/>
      <c r="BU835" s="55">
        <v>0</v>
      </c>
      <c r="BV835" s="55">
        <v>1613252.1332340001</v>
      </c>
      <c r="BW835" s="55">
        <v>0</v>
      </c>
      <c r="BX835" s="55">
        <v>2823485.5104120001</v>
      </c>
      <c r="BY835" s="55">
        <v>0</v>
      </c>
      <c r="BZ835" s="55"/>
      <c r="CA835" s="63"/>
      <c r="CB835" s="64">
        <v>142024.91904400001</v>
      </c>
      <c r="CD835" s="75"/>
      <c r="CE835" s="6"/>
    </row>
    <row r="836" spans="1:84" x14ac:dyDescent="0.25">
      <c r="A836" s="105">
        <f t="shared" si="209"/>
        <v>814</v>
      </c>
      <c r="B836" s="106">
        <f t="shared" si="206"/>
        <v>354</v>
      </c>
      <c r="C836" s="107" t="s">
        <v>437</v>
      </c>
      <c r="D836" s="107" t="s">
        <v>750</v>
      </c>
      <c r="E836" s="128">
        <v>1975</v>
      </c>
      <c r="F836" s="128">
        <v>1975</v>
      </c>
      <c r="G836" s="128" t="s">
        <v>439</v>
      </c>
      <c r="H836" s="128">
        <v>2</v>
      </c>
      <c r="I836" s="128">
        <v>2</v>
      </c>
      <c r="J836" s="63">
        <v>404.7</v>
      </c>
      <c r="K836" s="63">
        <v>359</v>
      </c>
      <c r="L836" s="63">
        <v>0</v>
      </c>
      <c r="M836" s="129">
        <v>19</v>
      </c>
      <c r="N836" s="108">
        <v>2095559.67</v>
      </c>
      <c r="O836" s="63"/>
      <c r="P836" s="62">
        <v>106165.59</v>
      </c>
      <c r="Q836" s="63"/>
      <c r="R836" s="62">
        <v>208947.4</v>
      </c>
      <c r="S836" s="62">
        <v>305868</v>
      </c>
      <c r="T836" s="62">
        <v>1474578.68</v>
      </c>
      <c r="U836" s="63">
        <v>381.66531941042399</v>
      </c>
      <c r="V836" s="63">
        <v>1422.2830200640001</v>
      </c>
      <c r="W836" s="59">
        <v>2024</v>
      </c>
      <c r="X836" s="6" t="e">
        <v>#REF!</v>
      </c>
      <c r="Z836" s="62">
        <f t="shared" si="214"/>
        <v>2159719.6999999997</v>
      </c>
      <c r="AA836" s="55">
        <v>0</v>
      </c>
      <c r="AB836" s="55">
        <v>0</v>
      </c>
      <c r="AC836" s="55">
        <v>105075.60924000001</v>
      </c>
      <c r="AD836" s="55">
        <v>0</v>
      </c>
      <c r="AE836" s="55">
        <v>0</v>
      </c>
      <c r="AF836" s="55"/>
      <c r="AG836" s="55">
        <v>0</v>
      </c>
      <c r="AH836" s="55">
        <v>0</v>
      </c>
      <c r="AI836" s="55">
        <v>0</v>
      </c>
      <c r="AJ836" s="55">
        <v>0</v>
      </c>
      <c r="AK836" s="55">
        <v>1919964.769086</v>
      </c>
      <c r="AL836" s="55">
        <v>0</v>
      </c>
      <c r="AM836" s="55">
        <v>60395.79</v>
      </c>
      <c r="AN836" s="63">
        <v>30000</v>
      </c>
      <c r="AO836" s="64">
        <v>44283.531673999998</v>
      </c>
      <c r="AP836" s="61">
        <f>+N836-'Приложение №2'!E836</f>
        <v>4.4781377073377371E-3</v>
      </c>
      <c r="AQ836" s="6" t="e">
        <f>151102.82-#REF!</f>
        <v>#REF!</v>
      </c>
      <c r="AR836" s="3">
        <f>+(K836*7.46+L836*20.48)*12*0.85</f>
        <v>27317.027999999998</v>
      </c>
      <c r="AS836" s="3" t="e">
        <f>+(K836*7.46+L836*20.48)*12*10-#REF!</f>
        <v>#REF!</v>
      </c>
      <c r="AT836" s="6" t="e">
        <f t="shared" si="212"/>
        <v>#REF!</v>
      </c>
      <c r="AU836" s="6" t="e">
        <v>#REF!</v>
      </c>
      <c r="AV836" s="6" t="e">
        <v>#REF!</v>
      </c>
      <c r="AW836" s="110">
        <f t="shared" si="207"/>
        <v>137017.8496683421</v>
      </c>
      <c r="AX836" s="55">
        <v>0</v>
      </c>
      <c r="AY836" s="55">
        <v>0</v>
      </c>
      <c r="AZ836" s="55">
        <v>135258.76977272399</v>
      </c>
      <c r="BA836" s="55">
        <v>0</v>
      </c>
      <c r="BB836" s="55">
        <v>0</v>
      </c>
      <c r="BC836" s="55"/>
      <c r="BD836" s="55"/>
      <c r="BE836" s="55">
        <v>0</v>
      </c>
      <c r="BF836" s="55">
        <v>0</v>
      </c>
      <c r="BG836" s="55">
        <v>0</v>
      </c>
      <c r="BH836" s="55"/>
      <c r="BI836" s="55">
        <v>0</v>
      </c>
      <c r="BJ836" s="55"/>
      <c r="BK836" s="63"/>
      <c r="BL836" s="64">
        <v>1759.07989561812</v>
      </c>
      <c r="BM836" s="110">
        <f t="shared" si="208"/>
        <v>137017.8496683421</v>
      </c>
      <c r="BN836" s="55">
        <v>0</v>
      </c>
      <c r="BO836" s="55">
        <v>0</v>
      </c>
      <c r="BP836" s="55">
        <v>135258.76977272399</v>
      </c>
      <c r="BQ836" s="55">
        <v>0</v>
      </c>
      <c r="BR836" s="55">
        <v>0</v>
      </c>
      <c r="BS836" s="55"/>
      <c r="BT836" s="55"/>
      <c r="BU836" s="55">
        <v>0</v>
      </c>
      <c r="BV836" s="55">
        <v>0</v>
      </c>
      <c r="BW836" s="55">
        <v>0</v>
      </c>
      <c r="BX836" s="55"/>
      <c r="BY836" s="55">
        <v>0</v>
      </c>
      <c r="BZ836" s="55"/>
      <c r="CA836" s="63"/>
      <c r="CB836" s="64">
        <v>1759.07989561812</v>
      </c>
      <c r="CD836" s="75"/>
      <c r="CE836" s="6"/>
    </row>
    <row r="837" spans="1:84" x14ac:dyDescent="0.25">
      <c r="A837" s="105">
        <f t="shared" si="209"/>
        <v>815</v>
      </c>
      <c r="B837" s="106">
        <f t="shared" si="206"/>
        <v>355</v>
      </c>
      <c r="C837" s="107" t="s">
        <v>437</v>
      </c>
      <c r="D837" s="107" t="s">
        <v>438</v>
      </c>
      <c r="E837" s="128">
        <v>1982</v>
      </c>
      <c r="F837" s="128">
        <v>1982</v>
      </c>
      <c r="G837" s="128" t="s">
        <v>439</v>
      </c>
      <c r="H837" s="128">
        <v>2</v>
      </c>
      <c r="I837" s="128">
        <v>3</v>
      </c>
      <c r="J837" s="63">
        <v>1277.5</v>
      </c>
      <c r="K837" s="63">
        <v>1102.3</v>
      </c>
      <c r="L837" s="63">
        <v>0</v>
      </c>
      <c r="M837" s="129">
        <v>34</v>
      </c>
      <c r="N837" s="108">
        <v>18371707.43</v>
      </c>
      <c r="O837" s="63"/>
      <c r="P837" s="63"/>
      <c r="Q837" s="63"/>
      <c r="R837" s="62">
        <v>510217.95</v>
      </c>
      <c r="S837" s="62">
        <v>986778.96</v>
      </c>
      <c r="T837" s="62">
        <v>16874710.52</v>
      </c>
      <c r="U837" s="63">
        <v>6498.5544985871702</v>
      </c>
      <c r="V837" s="63">
        <v>1423.2830200640001</v>
      </c>
      <c r="W837" s="59">
        <v>2024</v>
      </c>
      <c r="X837" s="6" t="e">
        <v>#REF!</v>
      </c>
      <c r="Z837" s="62">
        <f t="shared" si="214"/>
        <v>20938342.830000006</v>
      </c>
      <c r="AA837" s="55">
        <v>2788532.6780639999</v>
      </c>
      <c r="AB837" s="55">
        <v>0</v>
      </c>
      <c r="AC837" s="55">
        <v>377369.21947200003</v>
      </c>
      <c r="AD837" s="55">
        <v>1566144.8148779999</v>
      </c>
      <c r="AE837" s="55">
        <v>0</v>
      </c>
      <c r="AF837" s="55"/>
      <c r="AG837" s="55">
        <v>616763.67752999999</v>
      </c>
      <c r="AH837" s="55">
        <v>0</v>
      </c>
      <c r="AI837" s="55">
        <v>3422622.3707340001</v>
      </c>
      <c r="AJ837" s="55">
        <v>0</v>
      </c>
      <c r="AK837" s="55">
        <v>5952055.6381440004</v>
      </c>
      <c r="AL837" s="55">
        <v>5507536.2469260003</v>
      </c>
      <c r="AM837" s="55">
        <v>219906.35</v>
      </c>
      <c r="AN837" s="63">
        <v>45000.3</v>
      </c>
      <c r="AO837" s="64">
        <v>442411.53425199998</v>
      </c>
      <c r="AP837" s="61">
        <f>+N837-'Приложение №2'!E837</f>
        <v>2.9101036489009857E-3</v>
      </c>
      <c r="AQ837" s="6" t="e">
        <f>397322.38-#REF!</f>
        <v>#REF!</v>
      </c>
      <c r="AR837" s="3">
        <f>+(K837*7.46+L837*20.48)*12*0.85</f>
        <v>83876.211599999995</v>
      </c>
      <c r="AS837" s="3" t="e">
        <f>+(K837*7.46+L837*20.48)*12*10-#REF!</f>
        <v>#REF!</v>
      </c>
      <c r="AT837" s="6" t="e">
        <f t="shared" si="212"/>
        <v>#REF!</v>
      </c>
      <c r="AU837" s="6" t="e">
        <v>#REF!</v>
      </c>
      <c r="AV837" s="6" t="e">
        <v>#REF!</v>
      </c>
      <c r="AW837" s="110">
        <f t="shared" si="207"/>
        <v>7163356.6237926371</v>
      </c>
      <c r="AX837" s="55"/>
      <c r="AY837" s="55">
        <v>0</v>
      </c>
      <c r="AZ837" s="55">
        <v>452723.07120802801</v>
      </c>
      <c r="BA837" s="55"/>
      <c r="BB837" s="55">
        <v>0</v>
      </c>
      <c r="BC837" s="55"/>
      <c r="BD837" s="55">
        <v>0</v>
      </c>
      <c r="BE837" s="55">
        <v>0</v>
      </c>
      <c r="BF837" s="55"/>
      <c r="BG837" s="55">
        <v>0</v>
      </c>
      <c r="BH837" s="55"/>
      <c r="BI837" s="55">
        <v>6561163.0531278197</v>
      </c>
      <c r="BJ837" s="55"/>
      <c r="BK837" s="63"/>
      <c r="BL837" s="64">
        <v>149470.499456789</v>
      </c>
      <c r="BM837" s="110">
        <f t="shared" si="208"/>
        <v>7163356.6237926371</v>
      </c>
      <c r="BN837" s="55"/>
      <c r="BO837" s="55">
        <v>0</v>
      </c>
      <c r="BP837" s="55">
        <v>452723.07120802801</v>
      </c>
      <c r="BQ837" s="55"/>
      <c r="BR837" s="55">
        <v>0</v>
      </c>
      <c r="BS837" s="55"/>
      <c r="BT837" s="55">
        <v>0</v>
      </c>
      <c r="BU837" s="55">
        <v>0</v>
      </c>
      <c r="BV837" s="55"/>
      <c r="BW837" s="55">
        <v>0</v>
      </c>
      <c r="BX837" s="55"/>
      <c r="BY837" s="55">
        <v>6561163.0531278197</v>
      </c>
      <c r="BZ837" s="55"/>
      <c r="CA837" s="63"/>
      <c r="CB837" s="64">
        <v>149470.499456789</v>
      </c>
      <c r="CD837" s="75"/>
      <c r="CE837" s="179"/>
    </row>
    <row r="838" spans="1:84" x14ac:dyDescent="0.25">
      <c r="A838" s="105">
        <f t="shared" si="209"/>
        <v>816</v>
      </c>
      <c r="B838" s="106">
        <f t="shared" si="206"/>
        <v>356</v>
      </c>
      <c r="C838" s="107" t="s">
        <v>437</v>
      </c>
      <c r="D838" s="107" t="s">
        <v>751</v>
      </c>
      <c r="E838" s="128">
        <v>1980</v>
      </c>
      <c r="F838" s="128">
        <v>2009</v>
      </c>
      <c r="G838" s="128" t="s">
        <v>439</v>
      </c>
      <c r="H838" s="128">
        <v>2</v>
      </c>
      <c r="I838" s="128">
        <v>2</v>
      </c>
      <c r="J838" s="63">
        <v>672.9</v>
      </c>
      <c r="K838" s="63">
        <v>611.1</v>
      </c>
      <c r="L838" s="63">
        <v>0</v>
      </c>
      <c r="M838" s="129">
        <v>29</v>
      </c>
      <c r="N838" s="108">
        <v>11439941.039999999</v>
      </c>
      <c r="O838" s="63"/>
      <c r="P838" s="62">
        <v>1036056.24</v>
      </c>
      <c r="Q838" s="63"/>
      <c r="R838" s="62">
        <v>276160.05</v>
      </c>
      <c r="S838" s="62">
        <v>547056.72</v>
      </c>
      <c r="T838" s="62">
        <v>9580668.0299999993</v>
      </c>
      <c r="U838" s="63">
        <v>6970.4680253776796</v>
      </c>
      <c r="V838" s="63">
        <v>1424.2830200640001</v>
      </c>
      <c r="W838" s="59">
        <v>2024</v>
      </c>
      <c r="X838" s="6" t="e">
        <v>#REF!</v>
      </c>
      <c r="Z838" s="62">
        <f t="shared" si="214"/>
        <v>11378629.49</v>
      </c>
      <c r="AA838" s="55">
        <v>1424337.5088524399</v>
      </c>
      <c r="AB838" s="55">
        <v>0</v>
      </c>
      <c r="AC838" s="55">
        <v>0</v>
      </c>
      <c r="AD838" s="55">
        <v>760379.17506935995</v>
      </c>
      <c r="AE838" s="55">
        <v>0</v>
      </c>
      <c r="AF838" s="55"/>
      <c r="AG838" s="55">
        <v>334977.14468904003</v>
      </c>
      <c r="AH838" s="55">
        <v>0</v>
      </c>
      <c r="AI838" s="55">
        <v>1736316.6240672001</v>
      </c>
      <c r="AJ838" s="55">
        <v>0</v>
      </c>
      <c r="AK838" s="55">
        <v>2963106.3528674999</v>
      </c>
      <c r="AL838" s="55">
        <v>2745980.9435167201</v>
      </c>
      <c r="AM838" s="55">
        <v>1081828.9410000001</v>
      </c>
      <c r="AN838" s="63">
        <v>113786.29489999999</v>
      </c>
      <c r="AO838" s="64">
        <v>217916.50503773999</v>
      </c>
      <c r="AP838" s="61">
        <f>+N838-'Приложение №2'!E838</f>
        <v>-6.7083016037940979E-3</v>
      </c>
      <c r="AQ838" s="6" t="e">
        <f>212506.51-#REF!</f>
        <v>#REF!</v>
      </c>
      <c r="AR838" s="3">
        <f>+(K838*7.46+L838*20.48)*12*0.85</f>
        <v>46499.821200000006</v>
      </c>
      <c r="AS838" s="3" t="e">
        <f>+(K838*7.46+L838*20.48)*12*10-#REF!</f>
        <v>#REF!</v>
      </c>
      <c r="AT838" s="6" t="e">
        <f t="shared" si="212"/>
        <v>#REF!</v>
      </c>
      <c r="AU838" s="6" t="e">
        <v>#REF!</v>
      </c>
      <c r="AV838" s="6" t="e">
        <v>#REF!</v>
      </c>
      <c r="AW838" s="110">
        <f t="shared" si="207"/>
        <v>4259653.0103082992</v>
      </c>
      <c r="AX838" s="55"/>
      <c r="AY838" s="55">
        <v>0</v>
      </c>
      <c r="AZ838" s="55">
        <v>0</v>
      </c>
      <c r="BA838" s="55">
        <v>904580.55352005595</v>
      </c>
      <c r="BB838" s="55">
        <v>0</v>
      </c>
      <c r="BC838" s="55"/>
      <c r="BD838" s="55">
        <v>0</v>
      </c>
      <c r="BE838" s="55">
        <v>0</v>
      </c>
      <c r="BF838" s="55"/>
      <c r="BG838" s="55">
        <v>0</v>
      </c>
      <c r="BH838" s="55"/>
      <c r="BI838" s="55">
        <v>3266743.4001699998</v>
      </c>
      <c r="BJ838" s="55"/>
      <c r="BK838" s="63"/>
      <c r="BL838" s="64">
        <v>88329.056618243601</v>
      </c>
      <c r="BM838" s="110">
        <f t="shared" si="208"/>
        <v>4259653.0103082992</v>
      </c>
      <c r="BN838" s="55"/>
      <c r="BO838" s="55">
        <v>0</v>
      </c>
      <c r="BP838" s="55">
        <v>0</v>
      </c>
      <c r="BQ838" s="55">
        <v>904580.55352005595</v>
      </c>
      <c r="BR838" s="55">
        <v>0</v>
      </c>
      <c r="BS838" s="55"/>
      <c r="BT838" s="55">
        <v>0</v>
      </c>
      <c r="BU838" s="55">
        <v>0</v>
      </c>
      <c r="BV838" s="55"/>
      <c r="BW838" s="55">
        <v>0</v>
      </c>
      <c r="BX838" s="55"/>
      <c r="BY838" s="55">
        <v>3266743.4001699998</v>
      </c>
      <c r="BZ838" s="55"/>
      <c r="CA838" s="63"/>
      <c r="CB838" s="64">
        <v>88329.056618243601</v>
      </c>
      <c r="CD838" s="75"/>
      <c r="CE838" s="6"/>
    </row>
    <row r="839" spans="1:84" x14ac:dyDescent="0.25">
      <c r="A839" s="105">
        <f t="shared" si="209"/>
        <v>817</v>
      </c>
      <c r="B839" s="106">
        <f t="shared" si="206"/>
        <v>357</v>
      </c>
      <c r="C839" s="53" t="s">
        <v>437</v>
      </c>
      <c r="D839" s="53" t="s">
        <v>752</v>
      </c>
      <c r="E839" s="54">
        <v>1977</v>
      </c>
      <c r="F839" s="54">
        <v>2009</v>
      </c>
      <c r="G839" s="54" t="s">
        <v>439</v>
      </c>
      <c r="H839" s="54">
        <v>2</v>
      </c>
      <c r="I839" s="54">
        <v>2</v>
      </c>
      <c r="J839" s="55">
        <v>513.5</v>
      </c>
      <c r="K839" s="55">
        <v>482.7</v>
      </c>
      <c r="L839" s="55">
        <v>0</v>
      </c>
      <c r="M839" s="56">
        <v>23</v>
      </c>
      <c r="N839" s="112">
        <v>8939288.3800000008</v>
      </c>
      <c r="O839" s="55"/>
      <c r="P839" s="62">
        <v>666824.06999999995</v>
      </c>
      <c r="Q839" s="63"/>
      <c r="R839" s="62">
        <v>256400.78</v>
      </c>
      <c r="S839" s="62">
        <v>2571557.11</v>
      </c>
      <c r="T839" s="62">
        <v>5444506.4199999999</v>
      </c>
      <c r="U839" s="55">
        <v>12510.2721833017</v>
      </c>
      <c r="V839" s="55">
        <v>12510.2721833017</v>
      </c>
      <c r="W839" s="59">
        <v>2024</v>
      </c>
      <c r="X839" s="6" t="e">
        <v>#REF!</v>
      </c>
      <c r="Z839" s="62">
        <f t="shared" si="214"/>
        <v>8714786.4700000007</v>
      </c>
      <c r="AA839" s="55">
        <v>1207621.7677859999</v>
      </c>
      <c r="AB839" s="55">
        <v>0</v>
      </c>
      <c r="AC839" s="55">
        <v>0</v>
      </c>
      <c r="AD839" s="55">
        <v>674481.81868200004</v>
      </c>
      <c r="AE839" s="55">
        <v>0</v>
      </c>
      <c r="AF839" s="55"/>
      <c r="AG839" s="55">
        <v>0</v>
      </c>
      <c r="AH839" s="55">
        <v>0</v>
      </c>
      <c r="AI839" s="55">
        <v>1465015.4884260001</v>
      </c>
      <c r="AJ839" s="55">
        <v>0</v>
      </c>
      <c r="AK839" s="55">
        <v>2572639.0445699999</v>
      </c>
      <c r="AL839" s="55">
        <v>2380773.3781019999</v>
      </c>
      <c r="AM839" s="55">
        <v>188635.93</v>
      </c>
      <c r="AN839" s="63">
        <v>44103.23</v>
      </c>
      <c r="AO839" s="64">
        <v>181515.81243399999</v>
      </c>
      <c r="AP839" s="61">
        <f>+N839-'Приложение №2'!E839</f>
        <v>-3.5575572401285172E-3</v>
      </c>
      <c r="AQ839" s="1">
        <v>147984.43</v>
      </c>
      <c r="AR839" s="3">
        <f>+(K839*7.1+L839*19.5)*12*0.85</f>
        <v>34957.133999999991</v>
      </c>
      <c r="AS839" s="3">
        <f>+(K839*7.1+L839*19.5)*12*10</f>
        <v>411260.39999999991</v>
      </c>
      <c r="AT839" s="6">
        <f t="shared" si="212"/>
        <v>2160296.71</v>
      </c>
      <c r="AU839" s="6" t="e">
        <v>#REF!</v>
      </c>
      <c r="AV839" s="6" t="e">
        <v>#REF!</v>
      </c>
      <c r="AW839" s="62">
        <f t="shared" si="207"/>
        <v>6038708.3828797396</v>
      </c>
      <c r="AX839" s="55">
        <v>1207621.7677859999</v>
      </c>
      <c r="AY839" s="55">
        <v>0</v>
      </c>
      <c r="AZ839" s="55">
        <v>0</v>
      </c>
      <c r="BA839" s="55">
        <v>674481.81868200004</v>
      </c>
      <c r="BB839" s="55">
        <v>0</v>
      </c>
      <c r="BC839" s="55"/>
      <c r="BD839" s="55"/>
      <c r="BE839" s="55">
        <v>0</v>
      </c>
      <c r="BF839" s="55">
        <v>1465015.4884260001</v>
      </c>
      <c r="BG839" s="55">
        <v>0</v>
      </c>
      <c r="BH839" s="55">
        <v>2572639.0445699999</v>
      </c>
      <c r="BI839" s="55"/>
      <c r="BJ839" s="55"/>
      <c r="BK839" s="63"/>
      <c r="BL839" s="111">
        <v>118950.26341574</v>
      </c>
      <c r="BM839" s="62">
        <f t="shared" si="208"/>
        <v>6038708.3828797396</v>
      </c>
      <c r="BN839" s="55">
        <v>1207621.7677859999</v>
      </c>
      <c r="BO839" s="55">
        <v>0</v>
      </c>
      <c r="BP839" s="55">
        <v>0</v>
      </c>
      <c r="BQ839" s="55">
        <v>674481.81868200004</v>
      </c>
      <c r="BR839" s="55">
        <v>0</v>
      </c>
      <c r="BS839" s="55"/>
      <c r="BT839" s="55"/>
      <c r="BU839" s="55">
        <v>0</v>
      </c>
      <c r="BV839" s="55">
        <v>1465015.4884260001</v>
      </c>
      <c r="BW839" s="55">
        <v>0</v>
      </c>
      <c r="BX839" s="55">
        <v>2572639.0445699999</v>
      </c>
      <c r="BY839" s="55"/>
      <c r="BZ839" s="55"/>
      <c r="CA839" s="63"/>
      <c r="CB839" s="64">
        <v>118950.26341574</v>
      </c>
      <c r="CD839" s="75"/>
      <c r="CE839" s="6"/>
    </row>
    <row r="840" spans="1:84" x14ac:dyDescent="0.25">
      <c r="A840" s="105">
        <f t="shared" si="209"/>
        <v>818</v>
      </c>
      <c r="B840" s="106">
        <f t="shared" si="206"/>
        <v>358</v>
      </c>
      <c r="C840" s="107" t="s">
        <v>753</v>
      </c>
      <c r="D840" s="107" t="s">
        <v>754</v>
      </c>
      <c r="E840" s="128">
        <v>1981</v>
      </c>
      <c r="F840" s="128">
        <v>2012</v>
      </c>
      <c r="G840" s="128" t="s">
        <v>439</v>
      </c>
      <c r="H840" s="128">
        <v>2</v>
      </c>
      <c r="I840" s="128">
        <v>2</v>
      </c>
      <c r="J840" s="63">
        <v>1102.5</v>
      </c>
      <c r="K840" s="63">
        <v>944.54</v>
      </c>
      <c r="L840" s="63">
        <v>0</v>
      </c>
      <c r="M840" s="129">
        <v>51</v>
      </c>
      <c r="N840" s="108">
        <v>13232742.48</v>
      </c>
      <c r="O840" s="63"/>
      <c r="P840" s="62">
        <v>6371871.7800000003</v>
      </c>
      <c r="Q840" s="63"/>
      <c r="R840" s="62">
        <v>1619004.73</v>
      </c>
      <c r="S840" s="62">
        <v>804748.08</v>
      </c>
      <c r="T840" s="62">
        <v>4437117.8899999997</v>
      </c>
      <c r="U840" s="63">
        <v>8099.0706814536397</v>
      </c>
      <c r="V840" s="63">
        <v>1426.2830200640001</v>
      </c>
      <c r="W840" s="59">
        <v>2024</v>
      </c>
      <c r="X840" s="6"/>
      <c r="Z840" s="62"/>
      <c r="AA840" s="55"/>
      <c r="AB840" s="55"/>
      <c r="AC840" s="55"/>
      <c r="AD840" s="55"/>
      <c r="AE840" s="55"/>
      <c r="AF840" s="55"/>
      <c r="AG840" s="55"/>
      <c r="AH840" s="55"/>
      <c r="AI840" s="55"/>
      <c r="AJ840" s="55"/>
      <c r="AK840" s="55"/>
      <c r="AL840" s="55"/>
      <c r="AM840" s="55"/>
      <c r="AN840" s="63"/>
      <c r="AO840" s="64"/>
      <c r="AP840" s="61">
        <f>+N840-'Приложение №2'!E840</f>
        <v>3.5396590828895569E-3</v>
      </c>
      <c r="AQ840" s="65" t="e">
        <f>272576.7+#REF!-#REF!</f>
        <v>#REF!</v>
      </c>
      <c r="AR840" s="3">
        <f>+(K840*7.46+L840*20.48)*12*0.85</f>
        <v>71871.937679999988</v>
      </c>
      <c r="AS840" s="3" t="e">
        <f>+(K840*7.46+L840*20.48)*12*10-#REF!</f>
        <v>#REF!</v>
      </c>
      <c r="AT840" s="6"/>
      <c r="AU840" s="6"/>
      <c r="AV840" s="6"/>
      <c r="AW840" s="110">
        <f t="shared" si="207"/>
        <v>7649896.2214602223</v>
      </c>
      <c r="AX840" s="55">
        <v>0</v>
      </c>
      <c r="AY840" s="55">
        <v>0</v>
      </c>
      <c r="AZ840" s="55">
        <v>361131.79129235301</v>
      </c>
      <c r="BA840" s="55">
        <v>1398154.99267196</v>
      </c>
      <c r="BB840" s="55">
        <v>0</v>
      </c>
      <c r="BC840" s="55"/>
      <c r="BD840" s="55">
        <v>0</v>
      </c>
      <c r="BE840" s="55"/>
      <c r="BF840" s="55"/>
      <c r="BG840" s="55">
        <v>0</v>
      </c>
      <c r="BH840" s="55">
        <v>0</v>
      </c>
      <c r="BI840" s="55">
        <v>5610416.6446796702</v>
      </c>
      <c r="BJ840" s="55">
        <v>83285.91</v>
      </c>
      <c r="BK840" s="63">
        <v>30861.42</v>
      </c>
      <c r="BL840" s="64">
        <v>166045.46281623901</v>
      </c>
      <c r="BM840" s="110">
        <f t="shared" si="208"/>
        <v>7649896.2214602223</v>
      </c>
      <c r="BN840" s="55">
        <v>0</v>
      </c>
      <c r="BO840" s="55">
        <v>0</v>
      </c>
      <c r="BP840" s="55">
        <v>361131.79129235301</v>
      </c>
      <c r="BQ840" s="55">
        <v>1398154.99267196</v>
      </c>
      <c r="BR840" s="55">
        <v>0</v>
      </c>
      <c r="BS840" s="55"/>
      <c r="BT840" s="55">
        <v>0</v>
      </c>
      <c r="BU840" s="55"/>
      <c r="BV840" s="55"/>
      <c r="BW840" s="55">
        <v>0</v>
      </c>
      <c r="BX840" s="55">
        <v>0</v>
      </c>
      <c r="BY840" s="55">
        <v>5610416.6446796702</v>
      </c>
      <c r="BZ840" s="55">
        <v>83285.91</v>
      </c>
      <c r="CA840" s="63">
        <v>30861.42</v>
      </c>
      <c r="CB840" s="64">
        <v>166045.46281623901</v>
      </c>
      <c r="CD840" s="75"/>
      <c r="CE840" s="6"/>
      <c r="CF840" s="6"/>
    </row>
    <row r="841" spans="1:84" x14ac:dyDescent="0.25">
      <c r="A841" s="105">
        <f t="shared" si="209"/>
        <v>819</v>
      </c>
      <c r="B841" s="106">
        <f t="shared" si="206"/>
        <v>359</v>
      </c>
      <c r="C841" s="107" t="s">
        <v>279</v>
      </c>
      <c r="D841" s="107" t="s">
        <v>755</v>
      </c>
      <c r="E841" s="128">
        <v>1995</v>
      </c>
      <c r="F841" s="128">
        <v>1995</v>
      </c>
      <c r="G841" s="128" t="s">
        <v>64</v>
      </c>
      <c r="H841" s="128">
        <v>5</v>
      </c>
      <c r="I841" s="128">
        <v>4</v>
      </c>
      <c r="J841" s="63">
        <v>4970.7</v>
      </c>
      <c r="K841" s="63">
        <v>4454.7</v>
      </c>
      <c r="L841" s="63">
        <v>0</v>
      </c>
      <c r="M841" s="129">
        <v>173</v>
      </c>
      <c r="N841" s="108">
        <v>1758280.22</v>
      </c>
      <c r="O841" s="63"/>
      <c r="P841" s="63"/>
      <c r="Q841" s="63"/>
      <c r="R841" s="62">
        <v>1758280.22</v>
      </c>
      <c r="S841" s="63"/>
      <c r="T841" s="63"/>
      <c r="U841" s="63">
        <v>339.81339389857902</v>
      </c>
      <c r="V841" s="63">
        <v>1426.2830200640001</v>
      </c>
      <c r="W841" s="59">
        <v>2024</v>
      </c>
      <c r="X841" s="6" t="e">
        <v>#REF!</v>
      </c>
      <c r="Z841" s="62">
        <f t="shared" ref="Z841:Z851" si="215">SUM(AA841:AO841)</f>
        <v>2193864.8200000003</v>
      </c>
      <c r="AA841" s="55">
        <v>0</v>
      </c>
      <c r="AB841" s="55">
        <v>0</v>
      </c>
      <c r="AC841" s="55">
        <v>0</v>
      </c>
      <c r="AD841" s="55">
        <v>0</v>
      </c>
      <c r="AE841" s="55">
        <v>1481372.11786788</v>
      </c>
      <c r="AF841" s="55"/>
      <c r="AG841" s="55">
        <v>0</v>
      </c>
      <c r="AH841" s="55">
        <v>0</v>
      </c>
      <c r="AI841" s="55">
        <v>0</v>
      </c>
      <c r="AJ841" s="55">
        <v>0</v>
      </c>
      <c r="AK841" s="55">
        <v>0</v>
      </c>
      <c r="AL841" s="55">
        <v>0</v>
      </c>
      <c r="AM841" s="55">
        <v>658159.446</v>
      </c>
      <c r="AN841" s="63">
        <v>21938.6482</v>
      </c>
      <c r="AO841" s="64">
        <v>32394.607932120001</v>
      </c>
      <c r="AP841" s="61">
        <f>+N841-'Приложение №2'!E841</f>
        <v>4.19999985024333E-3</v>
      </c>
      <c r="AQ841" s="1">
        <f>2319470.66-250624.417-560475.56</f>
        <v>1508370.6830000002</v>
      </c>
      <c r="AR841" s="3">
        <f>+(K841*10.5+L841*21)*12*0.85</f>
        <v>477098.36999999994</v>
      </c>
      <c r="AS841" s="3">
        <f>+(K841*10.5+L841*21)*12*30-797057.91-3909441.68</f>
        <v>12132266.41</v>
      </c>
      <c r="AT841" s="6">
        <f t="shared" ref="AT841:AT851" si="216">+S841-AS841</f>
        <v>-12132266.41</v>
      </c>
      <c r="AU841" s="6" t="e">
        <v>#REF!</v>
      </c>
      <c r="AV841" s="6" t="e">
        <v>#REF!</v>
      </c>
      <c r="AW841" s="110">
        <f t="shared" si="207"/>
        <v>1513766.7258000001</v>
      </c>
      <c r="AX841" s="55">
        <v>0</v>
      </c>
      <c r="AY841" s="55">
        <v>0</v>
      </c>
      <c r="AZ841" s="55">
        <v>0</v>
      </c>
      <c r="BA841" s="55">
        <v>0</v>
      </c>
      <c r="BB841" s="55">
        <v>1481372.11786788</v>
      </c>
      <c r="BC841" s="55"/>
      <c r="BD841" s="55"/>
      <c r="BE841" s="55">
        <v>0</v>
      </c>
      <c r="BF841" s="55">
        <v>0</v>
      </c>
      <c r="BG841" s="55">
        <v>0</v>
      </c>
      <c r="BH841" s="55">
        <v>0</v>
      </c>
      <c r="BI841" s="55">
        <v>0</v>
      </c>
      <c r="BJ841" s="55"/>
      <c r="BK841" s="63"/>
      <c r="BL841" s="64">
        <v>32394.607932120001</v>
      </c>
      <c r="BM841" s="110">
        <f t="shared" si="208"/>
        <v>1513766.7258000001</v>
      </c>
      <c r="BN841" s="55">
        <v>0</v>
      </c>
      <c r="BO841" s="55">
        <v>0</v>
      </c>
      <c r="BP841" s="55">
        <v>0</v>
      </c>
      <c r="BQ841" s="55">
        <v>0</v>
      </c>
      <c r="BR841" s="55">
        <v>1481372.11786788</v>
      </c>
      <c r="BS841" s="55"/>
      <c r="BT841" s="55"/>
      <c r="BU841" s="55">
        <v>0</v>
      </c>
      <c r="BV841" s="55">
        <v>0</v>
      </c>
      <c r="BW841" s="55">
        <v>0</v>
      </c>
      <c r="BX841" s="55">
        <v>0</v>
      </c>
      <c r="BY841" s="55">
        <v>0</v>
      </c>
      <c r="BZ841" s="55"/>
      <c r="CA841" s="63"/>
      <c r="CB841" s="64">
        <v>32394.607932120001</v>
      </c>
      <c r="CD841" s="75"/>
      <c r="CE841" s="6"/>
    </row>
    <row r="842" spans="1:84" x14ac:dyDescent="0.25">
      <c r="A842" s="105">
        <f t="shared" si="209"/>
        <v>820</v>
      </c>
      <c r="B842" s="106">
        <f t="shared" si="206"/>
        <v>360</v>
      </c>
      <c r="C842" s="107" t="s">
        <v>279</v>
      </c>
      <c r="D842" s="107" t="s">
        <v>756</v>
      </c>
      <c r="E842" s="128">
        <v>1982</v>
      </c>
      <c r="F842" s="128">
        <v>2009</v>
      </c>
      <c r="G842" s="128" t="s">
        <v>64</v>
      </c>
      <c r="H842" s="128">
        <v>5</v>
      </c>
      <c r="I842" s="128">
        <v>2</v>
      </c>
      <c r="J842" s="63">
        <v>1767.9</v>
      </c>
      <c r="K842" s="63">
        <v>1603</v>
      </c>
      <c r="L842" s="63">
        <v>0</v>
      </c>
      <c r="M842" s="129">
        <v>65</v>
      </c>
      <c r="N842" s="108">
        <v>732850.34</v>
      </c>
      <c r="O842" s="63"/>
      <c r="P842" s="63"/>
      <c r="Q842" s="63"/>
      <c r="R842" s="62">
        <v>169086.53</v>
      </c>
      <c r="S842" s="62">
        <v>563763.81000000006</v>
      </c>
      <c r="T842" s="63"/>
      <c r="U842" s="63">
        <v>339.29775477230203</v>
      </c>
      <c r="V842" s="63">
        <v>1427.2830200640001</v>
      </c>
      <c r="W842" s="59">
        <v>2024</v>
      </c>
      <c r="X842" s="6" t="e">
        <v>#REF!</v>
      </c>
      <c r="Z842" s="62">
        <f t="shared" si="215"/>
        <v>788252.6100000001</v>
      </c>
      <c r="AA842" s="55">
        <v>0</v>
      </c>
      <c r="AB842" s="55">
        <v>0</v>
      </c>
      <c r="AC842" s="55">
        <v>0</v>
      </c>
      <c r="AD842" s="55">
        <v>0</v>
      </c>
      <c r="AE842" s="55">
        <v>532254.96286074002</v>
      </c>
      <c r="AF842" s="55"/>
      <c r="AG842" s="55">
        <v>0</v>
      </c>
      <c r="AH842" s="55">
        <v>0</v>
      </c>
      <c r="AI842" s="55">
        <v>0</v>
      </c>
      <c r="AJ842" s="55">
        <v>0</v>
      </c>
      <c r="AK842" s="55">
        <v>0</v>
      </c>
      <c r="AL842" s="55">
        <v>0</v>
      </c>
      <c r="AM842" s="55">
        <v>236475.783</v>
      </c>
      <c r="AN842" s="63">
        <v>7882.5261</v>
      </c>
      <c r="AO842" s="64">
        <v>11639.338039259999</v>
      </c>
      <c r="AP842" s="61">
        <f>+N842-'Приложение №2'!E842</f>
        <v>-9.0000010095536709E-4</v>
      </c>
      <c r="AQ842" s="1" t="e">
        <v>#REF!</v>
      </c>
      <c r="AR842" s="3">
        <f>+(K842*10.5+L842*21)*12*0.85</f>
        <v>171681.3</v>
      </c>
      <c r="AS842" s="3" t="e">
        <v>#REF!</v>
      </c>
      <c r="AT842" s="6" t="e">
        <f t="shared" si="216"/>
        <v>#REF!</v>
      </c>
      <c r="AU842" s="6" t="e">
        <v>#REF!</v>
      </c>
      <c r="AV842" s="6" t="e">
        <v>#REF!</v>
      </c>
      <c r="AW842" s="110">
        <f t="shared" si="207"/>
        <v>543894.30090000003</v>
      </c>
      <c r="AX842" s="55">
        <v>0</v>
      </c>
      <c r="AY842" s="55">
        <v>0</v>
      </c>
      <c r="AZ842" s="55">
        <v>0</v>
      </c>
      <c r="BA842" s="55">
        <v>0</v>
      </c>
      <c r="BB842" s="55">
        <v>532254.96286074002</v>
      </c>
      <c r="BC842" s="55"/>
      <c r="BD842" s="55"/>
      <c r="BE842" s="55">
        <v>0</v>
      </c>
      <c r="BF842" s="55">
        <v>0</v>
      </c>
      <c r="BG842" s="55">
        <v>0</v>
      </c>
      <c r="BH842" s="55">
        <v>0</v>
      </c>
      <c r="BI842" s="55">
        <v>0</v>
      </c>
      <c r="BJ842" s="55"/>
      <c r="BK842" s="63"/>
      <c r="BL842" s="64">
        <v>11639.338039259999</v>
      </c>
      <c r="BM842" s="110">
        <f t="shared" si="208"/>
        <v>543894.30090000003</v>
      </c>
      <c r="BN842" s="55">
        <v>0</v>
      </c>
      <c r="BO842" s="55">
        <v>0</v>
      </c>
      <c r="BP842" s="55">
        <v>0</v>
      </c>
      <c r="BQ842" s="55">
        <v>0</v>
      </c>
      <c r="BR842" s="55">
        <v>532254.96286074002</v>
      </c>
      <c r="BS842" s="55"/>
      <c r="BT842" s="55"/>
      <c r="BU842" s="55">
        <v>0</v>
      </c>
      <c r="BV842" s="55">
        <v>0</v>
      </c>
      <c r="BW842" s="55">
        <v>0</v>
      </c>
      <c r="BX842" s="55">
        <v>0</v>
      </c>
      <c r="BY842" s="55">
        <v>0</v>
      </c>
      <c r="BZ842" s="55"/>
      <c r="CA842" s="63"/>
      <c r="CB842" s="64">
        <v>11639.338039259999</v>
      </c>
      <c r="CD842" s="75"/>
      <c r="CE842" s="6"/>
      <c r="CF842" s="6"/>
    </row>
    <row r="843" spans="1:84" x14ac:dyDescent="0.25">
      <c r="A843" s="105">
        <f t="shared" si="209"/>
        <v>821</v>
      </c>
      <c r="B843" s="106">
        <f t="shared" si="206"/>
        <v>361</v>
      </c>
      <c r="C843" s="107" t="s">
        <v>279</v>
      </c>
      <c r="D843" s="107" t="s">
        <v>757</v>
      </c>
      <c r="E843" s="128">
        <v>1992</v>
      </c>
      <c r="F843" s="128">
        <v>1992</v>
      </c>
      <c r="G843" s="128" t="s">
        <v>64</v>
      </c>
      <c r="H843" s="128">
        <v>5</v>
      </c>
      <c r="I843" s="128">
        <v>2</v>
      </c>
      <c r="J843" s="63">
        <v>1787.3</v>
      </c>
      <c r="K843" s="63">
        <v>1278.2</v>
      </c>
      <c r="L843" s="63">
        <v>214.2</v>
      </c>
      <c r="M843" s="129">
        <v>44</v>
      </c>
      <c r="N843" s="108">
        <v>744617.78</v>
      </c>
      <c r="O843" s="63"/>
      <c r="P843" s="63"/>
      <c r="Q843" s="63"/>
      <c r="R843" s="62">
        <v>262296.14</v>
      </c>
      <c r="S843" s="62">
        <v>482321.64</v>
      </c>
      <c r="T843" s="63"/>
      <c r="U843" s="63">
        <v>419.91272023157597</v>
      </c>
      <c r="V843" s="63">
        <v>1428.2830200640001</v>
      </c>
      <c r="W843" s="59">
        <v>2024</v>
      </c>
      <c r="X843" s="6" t="e">
        <v>#REF!</v>
      </c>
      <c r="Z843" s="62">
        <f t="shared" si="215"/>
        <v>777873.10000000009</v>
      </c>
      <c r="AA843" s="55">
        <v>0</v>
      </c>
      <c r="AB843" s="55">
        <v>0</v>
      </c>
      <c r="AC843" s="55">
        <v>0</v>
      </c>
      <c r="AD843" s="55">
        <v>0</v>
      </c>
      <c r="AE843" s="55">
        <v>525246.36480540002</v>
      </c>
      <c r="AF843" s="55"/>
      <c r="AG843" s="55">
        <v>0</v>
      </c>
      <c r="AH843" s="55">
        <v>0</v>
      </c>
      <c r="AI843" s="55">
        <v>0</v>
      </c>
      <c r="AJ843" s="55">
        <v>0</v>
      </c>
      <c r="AK843" s="55">
        <v>0</v>
      </c>
      <c r="AL843" s="55">
        <v>0</v>
      </c>
      <c r="AM843" s="55">
        <v>233361.93</v>
      </c>
      <c r="AN843" s="63">
        <v>7778.7309999999998</v>
      </c>
      <c r="AO843" s="64">
        <v>11486.0741946</v>
      </c>
      <c r="AP843" s="61">
        <f>+N843-'Приложение №2'!E843</f>
        <v>1.0000000474974513E-3</v>
      </c>
      <c r="AQ843" s="1" t="e">
        <v>#REF!</v>
      </c>
      <c r="AR843" s="3">
        <f>+(K843*10.5+L843*21)*12*0.85</f>
        <v>182776.86</v>
      </c>
      <c r="AS843" s="3" t="e">
        <v>#REF!</v>
      </c>
      <c r="AT843" s="6" t="e">
        <f t="shared" si="216"/>
        <v>#REF!</v>
      </c>
      <c r="AU843" s="6" t="e">
        <v>#REF!</v>
      </c>
      <c r="AV843" s="6" t="e">
        <v>#REF!</v>
      </c>
      <c r="AW843" s="110">
        <f t="shared" si="207"/>
        <v>536732.43900000001</v>
      </c>
      <c r="AX843" s="55">
        <v>0</v>
      </c>
      <c r="AY843" s="55">
        <v>0</v>
      </c>
      <c r="AZ843" s="55">
        <v>0</v>
      </c>
      <c r="BA843" s="55">
        <v>0</v>
      </c>
      <c r="BB843" s="55">
        <v>525246.36480540002</v>
      </c>
      <c r="BC843" s="55"/>
      <c r="BD843" s="55"/>
      <c r="BE843" s="55">
        <v>0</v>
      </c>
      <c r="BF843" s="55">
        <v>0</v>
      </c>
      <c r="BG843" s="55">
        <v>0</v>
      </c>
      <c r="BH843" s="55">
        <v>0</v>
      </c>
      <c r="BI843" s="55">
        <v>0</v>
      </c>
      <c r="BJ843" s="55"/>
      <c r="BK843" s="63"/>
      <c r="BL843" s="64">
        <v>11486.0741946</v>
      </c>
      <c r="BM843" s="110">
        <f t="shared" si="208"/>
        <v>536732.43900000001</v>
      </c>
      <c r="BN843" s="55">
        <v>0</v>
      </c>
      <c r="BO843" s="55">
        <v>0</v>
      </c>
      <c r="BP843" s="55">
        <v>0</v>
      </c>
      <c r="BQ843" s="55">
        <v>0</v>
      </c>
      <c r="BR843" s="55">
        <v>525246.36480540002</v>
      </c>
      <c r="BS843" s="55"/>
      <c r="BT843" s="55"/>
      <c r="BU843" s="55">
        <v>0</v>
      </c>
      <c r="BV843" s="55">
        <v>0</v>
      </c>
      <c r="BW843" s="55">
        <v>0</v>
      </c>
      <c r="BX843" s="55">
        <v>0</v>
      </c>
      <c r="BY843" s="55">
        <v>0</v>
      </c>
      <c r="BZ843" s="55"/>
      <c r="CA843" s="63"/>
      <c r="CB843" s="64">
        <v>11486.0741946</v>
      </c>
      <c r="CD843" s="75"/>
      <c r="CE843" s="6"/>
      <c r="CF843" s="117"/>
    </row>
    <row r="844" spans="1:84" x14ac:dyDescent="0.25">
      <c r="A844" s="105">
        <f t="shared" si="209"/>
        <v>822</v>
      </c>
      <c r="B844" s="106">
        <f t="shared" si="206"/>
        <v>362</v>
      </c>
      <c r="C844" s="107" t="s">
        <v>279</v>
      </c>
      <c r="D844" s="107" t="s">
        <v>758</v>
      </c>
      <c r="E844" s="128">
        <v>1974</v>
      </c>
      <c r="F844" s="128">
        <v>1974</v>
      </c>
      <c r="G844" s="128" t="s">
        <v>64</v>
      </c>
      <c r="H844" s="128">
        <v>2</v>
      </c>
      <c r="I844" s="128">
        <v>3</v>
      </c>
      <c r="J844" s="63">
        <v>1039.5</v>
      </c>
      <c r="K844" s="63">
        <v>915.4</v>
      </c>
      <c r="L844" s="63">
        <v>0</v>
      </c>
      <c r="M844" s="129">
        <v>39</v>
      </c>
      <c r="N844" s="108">
        <v>470895.09</v>
      </c>
      <c r="O844" s="63"/>
      <c r="P844" s="63"/>
      <c r="Q844" s="63"/>
      <c r="R844" s="62">
        <v>470895.09</v>
      </c>
      <c r="S844" s="63"/>
      <c r="T844" s="63"/>
      <c r="U844" s="63">
        <v>401.76629609431001</v>
      </c>
      <c r="V844" s="63">
        <v>1429.2830200640001</v>
      </c>
      <c r="W844" s="59">
        <v>2024</v>
      </c>
      <c r="X844" s="6" t="e">
        <v>#REF!</v>
      </c>
      <c r="Z844" s="62">
        <f t="shared" si="215"/>
        <v>3610896.0000000005</v>
      </c>
      <c r="AA844" s="55">
        <v>2740937.5436570402</v>
      </c>
      <c r="AB844" s="55">
        <v>0</v>
      </c>
      <c r="AC844" s="55">
        <v>0</v>
      </c>
      <c r="AD844" s="55">
        <v>0</v>
      </c>
      <c r="AE844" s="55">
        <v>359906.44733063999</v>
      </c>
      <c r="AF844" s="55"/>
      <c r="AG844" s="55">
        <v>0</v>
      </c>
      <c r="AH844" s="55">
        <v>0</v>
      </c>
      <c r="AI844" s="55">
        <v>0</v>
      </c>
      <c r="AJ844" s="55">
        <v>0</v>
      </c>
      <c r="AK844" s="55">
        <v>0</v>
      </c>
      <c r="AL844" s="55">
        <v>0</v>
      </c>
      <c r="AM844" s="55">
        <v>406133.87119999999</v>
      </c>
      <c r="AN844" s="63">
        <v>36108.959999999999</v>
      </c>
      <c r="AO844" s="64">
        <v>67809.177812320006</v>
      </c>
      <c r="AP844" s="61">
        <f>+N844-'Приложение №2'!E844</f>
        <v>-1.1409108992666006E-4</v>
      </c>
      <c r="AQ844" s="1">
        <f>488439.9-73856.3028</f>
        <v>414583.59720000002</v>
      </c>
      <c r="AR844" s="3">
        <f>+(K844*10.5+L844*21)*12*0.85</f>
        <v>98039.34</v>
      </c>
      <c r="AS844" s="3">
        <f>+(K844*10.5+L844*21)*12*30-396640.91</f>
        <v>3063571.09</v>
      </c>
      <c r="AT844" s="6">
        <f t="shared" si="216"/>
        <v>-3063571.09</v>
      </c>
      <c r="AU844" s="6" t="e">
        <v>#REF!</v>
      </c>
      <c r="AV844" s="6" t="e">
        <v>#REF!</v>
      </c>
      <c r="AW844" s="110">
        <f t="shared" si="207"/>
        <v>367776.86744473112</v>
      </c>
      <c r="AX844" s="55"/>
      <c r="AY844" s="55">
        <v>0</v>
      </c>
      <c r="AZ844" s="55">
        <v>0</v>
      </c>
      <c r="BA844" s="55">
        <v>0</v>
      </c>
      <c r="BB844" s="55">
        <v>359906.44733063999</v>
      </c>
      <c r="BC844" s="55"/>
      <c r="BD844" s="55"/>
      <c r="BE844" s="55">
        <v>0</v>
      </c>
      <c r="BF844" s="55">
        <v>0</v>
      </c>
      <c r="BG844" s="55">
        <v>0</v>
      </c>
      <c r="BH844" s="55">
        <v>0</v>
      </c>
      <c r="BI844" s="55">
        <v>0</v>
      </c>
      <c r="BJ844" s="55"/>
      <c r="BK844" s="63"/>
      <c r="BL844" s="64">
        <v>7870.42011409113</v>
      </c>
      <c r="BM844" s="110">
        <f t="shared" si="208"/>
        <v>367776.86744473112</v>
      </c>
      <c r="BN844" s="55"/>
      <c r="BO844" s="55">
        <v>0</v>
      </c>
      <c r="BP844" s="55">
        <v>0</v>
      </c>
      <c r="BQ844" s="55">
        <v>0</v>
      </c>
      <c r="BR844" s="55">
        <v>359906.44733063999</v>
      </c>
      <c r="BS844" s="55"/>
      <c r="BT844" s="55"/>
      <c r="BU844" s="55">
        <v>0</v>
      </c>
      <c r="BV844" s="55">
        <v>0</v>
      </c>
      <c r="BW844" s="55">
        <v>0</v>
      </c>
      <c r="BX844" s="55">
        <v>0</v>
      </c>
      <c r="BY844" s="55">
        <v>0</v>
      </c>
      <c r="BZ844" s="55"/>
      <c r="CA844" s="63"/>
      <c r="CB844" s="64">
        <v>7870.42011409113</v>
      </c>
      <c r="CD844" s="75"/>
      <c r="CE844" s="6"/>
    </row>
    <row r="845" spans="1:84" x14ac:dyDescent="0.25">
      <c r="A845" s="105">
        <f t="shared" si="209"/>
        <v>823</v>
      </c>
      <c r="B845" s="106">
        <f t="shared" si="206"/>
        <v>363</v>
      </c>
      <c r="C845" s="107" t="s">
        <v>279</v>
      </c>
      <c r="D845" s="107" t="s">
        <v>759</v>
      </c>
      <c r="E845" s="128">
        <v>1977</v>
      </c>
      <c r="F845" s="128">
        <v>2010</v>
      </c>
      <c r="G845" s="128" t="s">
        <v>64</v>
      </c>
      <c r="H845" s="128">
        <v>4</v>
      </c>
      <c r="I845" s="128">
        <v>4</v>
      </c>
      <c r="J845" s="63">
        <v>4061.6</v>
      </c>
      <c r="K845" s="63">
        <v>3500</v>
      </c>
      <c r="L845" s="63">
        <v>0</v>
      </c>
      <c r="M845" s="129">
        <v>135</v>
      </c>
      <c r="N845" s="108">
        <v>1462636.87</v>
      </c>
      <c r="O845" s="63"/>
      <c r="P845" s="63"/>
      <c r="Q845" s="63"/>
      <c r="R845" s="62">
        <v>1462636.87</v>
      </c>
      <c r="S845" s="63"/>
      <c r="T845" s="63"/>
      <c r="U845" s="63">
        <v>311.47553579999999</v>
      </c>
      <c r="V845" s="63">
        <v>1432.2830200640001</v>
      </c>
      <c r="W845" s="59">
        <v>2024</v>
      </c>
      <c r="X845" s="6" t="e">
        <v>#REF!</v>
      </c>
      <c r="Z845" s="62">
        <f t="shared" si="215"/>
        <v>1579948.3699999999</v>
      </c>
      <c r="AA845" s="55">
        <v>0</v>
      </c>
      <c r="AB845" s="55">
        <v>0</v>
      </c>
      <c r="AC845" s="55">
        <v>0</v>
      </c>
      <c r="AD845" s="55">
        <v>0</v>
      </c>
      <c r="AE845" s="55">
        <v>1066834.85766858</v>
      </c>
      <c r="AF845" s="55"/>
      <c r="AG845" s="55">
        <v>0</v>
      </c>
      <c r="AH845" s="55">
        <v>0</v>
      </c>
      <c r="AI845" s="55">
        <v>0</v>
      </c>
      <c r="AJ845" s="55">
        <v>0</v>
      </c>
      <c r="AK845" s="55">
        <v>0</v>
      </c>
      <c r="AL845" s="55">
        <v>0</v>
      </c>
      <c r="AM845" s="55">
        <v>473984.511</v>
      </c>
      <c r="AN845" s="63">
        <v>15799.483700000001</v>
      </c>
      <c r="AO845" s="64">
        <v>23329.51763142</v>
      </c>
      <c r="AP845" s="61">
        <f>+N845-'Приложение №2'!E845</f>
        <v>2.3685800842940807E-3</v>
      </c>
      <c r="AQ845" s="65">
        <v>1771943.08</v>
      </c>
      <c r="AR845" s="3">
        <f>+(K845*10.5+L845*21)*12*0.85</f>
        <v>374850</v>
      </c>
      <c r="AS845" s="3">
        <f>+(K845*10.5+L845*21)*12*30</f>
        <v>13230000</v>
      </c>
      <c r="AT845" s="6">
        <f t="shared" si="216"/>
        <v>-13230000</v>
      </c>
      <c r="AU845" s="6" t="e">
        <v>#REF!</v>
      </c>
      <c r="AV845" s="6" t="e">
        <v>#REF!</v>
      </c>
      <c r="AW845" s="110">
        <f t="shared" si="207"/>
        <v>1090164.3753</v>
      </c>
      <c r="AX845" s="55">
        <v>0</v>
      </c>
      <c r="AY845" s="55">
        <v>0</v>
      </c>
      <c r="AZ845" s="55">
        <v>0</v>
      </c>
      <c r="BA845" s="55">
        <v>0</v>
      </c>
      <c r="BB845" s="55">
        <v>1066834.85766858</v>
      </c>
      <c r="BC845" s="55"/>
      <c r="BD845" s="55"/>
      <c r="BE845" s="55">
        <v>0</v>
      </c>
      <c r="BF845" s="55">
        <v>0</v>
      </c>
      <c r="BG845" s="55">
        <v>0</v>
      </c>
      <c r="BH845" s="55">
        <v>0</v>
      </c>
      <c r="BI845" s="55">
        <v>0</v>
      </c>
      <c r="BJ845" s="55"/>
      <c r="BK845" s="63"/>
      <c r="BL845" s="64">
        <v>23329.51763142</v>
      </c>
      <c r="BM845" s="110">
        <f t="shared" si="208"/>
        <v>1090164.3753</v>
      </c>
      <c r="BN845" s="55">
        <v>0</v>
      </c>
      <c r="BO845" s="55">
        <v>0</v>
      </c>
      <c r="BP845" s="55">
        <v>0</v>
      </c>
      <c r="BQ845" s="55">
        <v>0</v>
      </c>
      <c r="BR845" s="55">
        <v>1066834.85766858</v>
      </c>
      <c r="BS845" s="55"/>
      <c r="BT845" s="55"/>
      <c r="BU845" s="55">
        <v>0</v>
      </c>
      <c r="BV845" s="55">
        <v>0</v>
      </c>
      <c r="BW845" s="55">
        <v>0</v>
      </c>
      <c r="BX845" s="55">
        <v>0</v>
      </c>
      <c r="BY845" s="55">
        <v>0</v>
      </c>
      <c r="BZ845" s="55"/>
      <c r="CA845" s="63"/>
      <c r="CB845" s="64">
        <v>23329.51763142</v>
      </c>
      <c r="CD845" s="75"/>
      <c r="CE845" s="6"/>
    </row>
    <row r="846" spans="1:84" x14ac:dyDescent="0.25">
      <c r="A846" s="105">
        <f t="shared" si="209"/>
        <v>824</v>
      </c>
      <c r="B846" s="106">
        <f t="shared" si="206"/>
        <v>364</v>
      </c>
      <c r="C846" s="53" t="s">
        <v>279</v>
      </c>
      <c r="D846" s="53" t="s">
        <v>285</v>
      </c>
      <c r="E846" s="54">
        <v>1973</v>
      </c>
      <c r="F846" s="54">
        <v>2010</v>
      </c>
      <c r="G846" s="54" t="s">
        <v>64</v>
      </c>
      <c r="H846" s="54">
        <v>5</v>
      </c>
      <c r="I846" s="54">
        <v>4</v>
      </c>
      <c r="J846" s="55">
        <v>3449.3</v>
      </c>
      <c r="K846" s="55">
        <v>3117.4</v>
      </c>
      <c r="L846" s="55">
        <v>171.7</v>
      </c>
      <c r="M846" s="56">
        <v>147</v>
      </c>
      <c r="N846" s="112">
        <v>6210065.9500000002</v>
      </c>
      <c r="O846" s="63"/>
      <c r="P846" s="63"/>
      <c r="Q846" s="63"/>
      <c r="R846" s="62">
        <v>621865.63</v>
      </c>
      <c r="S846" s="62">
        <v>2982539.29</v>
      </c>
      <c r="T846" s="62">
        <v>2605661.0299999998</v>
      </c>
      <c r="U846" s="63">
        <v>1888.0745333055399</v>
      </c>
      <c r="V846" s="63">
        <v>1888.0745333055399</v>
      </c>
      <c r="W846" s="59">
        <v>2024</v>
      </c>
      <c r="X846" s="6" t="e">
        <v>#REF!</v>
      </c>
      <c r="Z846" s="62">
        <f t="shared" si="215"/>
        <v>17920574.470533662</v>
      </c>
      <c r="AA846" s="55"/>
      <c r="AB846" s="55">
        <v>0</v>
      </c>
      <c r="AC846" s="55">
        <v>0</v>
      </c>
      <c r="AD846" s="55">
        <v>0</v>
      </c>
      <c r="AE846" s="55">
        <v>1035545.47294086</v>
      </c>
      <c r="AF846" s="55"/>
      <c r="AG846" s="55">
        <v>0</v>
      </c>
      <c r="AH846" s="55">
        <v>0</v>
      </c>
      <c r="AI846" s="55">
        <v>0</v>
      </c>
      <c r="AJ846" s="55">
        <v>0</v>
      </c>
      <c r="AK846" s="55">
        <v>6731411.6906387396</v>
      </c>
      <c r="AL846" s="55">
        <v>6947141.1784660202</v>
      </c>
      <c r="AM846" s="55">
        <v>2528780.7582</v>
      </c>
      <c r="AN846" s="63">
        <v>234660.19320000001</v>
      </c>
      <c r="AO846" s="64">
        <v>443035.17708803999</v>
      </c>
      <c r="AP846" s="61">
        <f>+N846-'Приложение №2'!E846</f>
        <v>2.5047603994607925E-3</v>
      </c>
      <c r="AQ846" s="1">
        <f>1240910.11-689425.44-282620.64</f>
        <v>268864.03000000014</v>
      </c>
      <c r="AR846" s="3">
        <f>+(K846*10+L846*20)*12*0.85</f>
        <v>353001.6</v>
      </c>
      <c r="AS846" s="3">
        <f>+(K846*10+L846*20)*12*30-3027646.57-12468.88</f>
        <v>9418764.5499999989</v>
      </c>
      <c r="AT846" s="6">
        <f t="shared" si="216"/>
        <v>-6436225.2599999988</v>
      </c>
      <c r="AU846" s="6" t="e">
        <v>#REF!</v>
      </c>
      <c r="AV846" s="6" t="e">
        <v>#REF!</v>
      </c>
      <c r="AW846" s="62">
        <f t="shared" si="207"/>
        <v>6210065.9474952398</v>
      </c>
      <c r="AX846" s="55"/>
      <c r="AY846" s="55">
        <v>0</v>
      </c>
      <c r="AZ846" s="55">
        <v>0</v>
      </c>
      <c r="BA846" s="55">
        <v>0</v>
      </c>
      <c r="BB846" s="55"/>
      <c r="BC846" s="55"/>
      <c r="BD846" s="55"/>
      <c r="BE846" s="55">
        <v>0</v>
      </c>
      <c r="BF846" s="55">
        <v>0</v>
      </c>
      <c r="BG846" s="55">
        <v>0</v>
      </c>
      <c r="BH846" s="55">
        <v>5910943.7000000002</v>
      </c>
      <c r="BI846" s="55"/>
      <c r="BJ846" s="55"/>
      <c r="BK846" s="63"/>
      <c r="BL846" s="111">
        <v>299122.24749524001</v>
      </c>
      <c r="BM846" s="62">
        <f t="shared" si="208"/>
        <v>6210065.9474952398</v>
      </c>
      <c r="BN846" s="55"/>
      <c r="BO846" s="55">
        <v>0</v>
      </c>
      <c r="BP846" s="55">
        <v>0</v>
      </c>
      <c r="BQ846" s="55">
        <v>0</v>
      </c>
      <c r="BR846" s="55"/>
      <c r="BS846" s="55"/>
      <c r="BT846" s="55"/>
      <c r="BU846" s="55">
        <v>0</v>
      </c>
      <c r="BV846" s="55">
        <v>0</v>
      </c>
      <c r="BW846" s="55">
        <v>0</v>
      </c>
      <c r="BX846" s="55">
        <v>5910943.7000000002</v>
      </c>
      <c r="BY846" s="55"/>
      <c r="BZ846" s="55"/>
      <c r="CA846" s="63"/>
      <c r="CB846" s="64">
        <v>299122.24749524001</v>
      </c>
      <c r="CD846" s="75"/>
      <c r="CE846" s="6"/>
    </row>
    <row r="847" spans="1:84" x14ac:dyDescent="0.25">
      <c r="A847" s="105">
        <f t="shared" si="209"/>
        <v>825</v>
      </c>
      <c r="B847" s="106">
        <f t="shared" si="206"/>
        <v>365</v>
      </c>
      <c r="C847" s="107" t="s">
        <v>279</v>
      </c>
      <c r="D847" s="107" t="s">
        <v>760</v>
      </c>
      <c r="E847" s="128">
        <v>1971</v>
      </c>
      <c r="F847" s="128">
        <v>2011</v>
      </c>
      <c r="G847" s="128" t="s">
        <v>64</v>
      </c>
      <c r="H847" s="128">
        <v>5</v>
      </c>
      <c r="I847" s="128">
        <v>4</v>
      </c>
      <c r="J847" s="63">
        <v>3534.8</v>
      </c>
      <c r="K847" s="63">
        <v>2494.1</v>
      </c>
      <c r="L847" s="63">
        <v>875.9</v>
      </c>
      <c r="M847" s="129">
        <v>129</v>
      </c>
      <c r="N847" s="108">
        <v>4028819.68</v>
      </c>
      <c r="O847" s="63"/>
      <c r="P847" s="63"/>
      <c r="Q847" s="63"/>
      <c r="R847" s="62">
        <v>1393368.6</v>
      </c>
      <c r="S847" s="62">
        <v>568068.72</v>
      </c>
      <c r="T847" s="62">
        <v>2067382.36</v>
      </c>
      <c r="U847" s="63">
        <v>1195.49545262988</v>
      </c>
      <c r="V847" s="63">
        <v>1195.49545262988</v>
      </c>
      <c r="W847" s="59">
        <v>2024</v>
      </c>
      <c r="X847" s="6" t="e">
        <v>#REF!</v>
      </c>
      <c r="Z847" s="62">
        <f t="shared" si="215"/>
        <v>10838098.81182522</v>
      </c>
      <c r="AA847" s="55"/>
      <c r="AB847" s="55">
        <v>0</v>
      </c>
      <c r="AC847" s="55">
        <v>0</v>
      </c>
      <c r="AD847" s="55">
        <v>0</v>
      </c>
      <c r="AE847" s="55">
        <v>1101213.72829692</v>
      </c>
      <c r="AF847" s="55"/>
      <c r="AG847" s="55">
        <v>0</v>
      </c>
      <c r="AH847" s="55">
        <v>0</v>
      </c>
      <c r="AI847" s="55">
        <v>0</v>
      </c>
      <c r="AJ847" s="55">
        <v>0</v>
      </c>
      <c r="AK847" s="55">
        <v>0</v>
      </c>
      <c r="AL847" s="55">
        <v>7387688.3326625396</v>
      </c>
      <c r="AM847" s="55">
        <v>1867251.8873999999</v>
      </c>
      <c r="AN847" s="63">
        <v>167352.03419999999</v>
      </c>
      <c r="AO847" s="64">
        <v>314592.82926576003</v>
      </c>
      <c r="AP847" s="61">
        <f>+N847-'Приложение №2'!E847</f>
        <v>4.6373200602829456E-3</v>
      </c>
      <c r="AQ847" s="1">
        <f>1768332.06-808045.26</f>
        <v>960286.8</v>
      </c>
      <c r="AR847" s="3">
        <f>+(K847*10+L847*20)*12*0.85</f>
        <v>433081.8</v>
      </c>
      <c r="AS847" s="3">
        <f>+(K847*10+L847*20)*12*30-2725603.24</f>
        <v>12559636.76</v>
      </c>
      <c r="AT847" s="6">
        <f t="shared" si="216"/>
        <v>-11991568.039999999</v>
      </c>
      <c r="AU847" s="6" t="e">
        <v>#REF!</v>
      </c>
      <c r="AV847" s="6" t="e">
        <v>#REF!</v>
      </c>
      <c r="AW847" s="62">
        <f t="shared" si="207"/>
        <v>4028819.6753626801</v>
      </c>
      <c r="AX847" s="55"/>
      <c r="AY847" s="55">
        <v>0</v>
      </c>
      <c r="AZ847" s="55">
        <v>0</v>
      </c>
      <c r="BA847" s="55">
        <v>0</v>
      </c>
      <c r="BB847" s="55"/>
      <c r="BC847" s="55"/>
      <c r="BD847" s="55"/>
      <c r="BE847" s="55">
        <v>0</v>
      </c>
      <c r="BF847" s="55">
        <v>0</v>
      </c>
      <c r="BG847" s="55">
        <v>0</v>
      </c>
      <c r="BH847" s="55">
        <v>0</v>
      </c>
      <c r="BI847" s="55">
        <v>3738308.16</v>
      </c>
      <c r="BJ847" s="55"/>
      <c r="BK847" s="63"/>
      <c r="BL847" s="64">
        <v>290511.51536268002</v>
      </c>
      <c r="BM847" s="62">
        <f t="shared" si="208"/>
        <v>4028819.6753626801</v>
      </c>
      <c r="BN847" s="55"/>
      <c r="BO847" s="55">
        <v>0</v>
      </c>
      <c r="BP847" s="55">
        <v>0</v>
      </c>
      <c r="BQ847" s="55">
        <v>0</v>
      </c>
      <c r="BR847" s="55"/>
      <c r="BS847" s="55"/>
      <c r="BT847" s="55"/>
      <c r="BU847" s="55">
        <v>0</v>
      </c>
      <c r="BV847" s="55">
        <v>0</v>
      </c>
      <c r="BW847" s="55">
        <v>0</v>
      </c>
      <c r="BX847" s="55">
        <v>0</v>
      </c>
      <c r="BY847" s="55">
        <v>3738308.16</v>
      </c>
      <c r="BZ847" s="55"/>
      <c r="CA847" s="63"/>
      <c r="CB847" s="64">
        <v>290511.51536268002</v>
      </c>
      <c r="CD847" s="75"/>
      <c r="CE847" s="6"/>
    </row>
    <row r="848" spans="1:84" x14ac:dyDescent="0.25">
      <c r="A848" s="105">
        <f t="shared" si="209"/>
        <v>826</v>
      </c>
      <c r="B848" s="106">
        <f t="shared" si="206"/>
        <v>366</v>
      </c>
      <c r="C848" s="107" t="s">
        <v>279</v>
      </c>
      <c r="D848" s="107" t="s">
        <v>761</v>
      </c>
      <c r="E848" s="128">
        <v>1987</v>
      </c>
      <c r="F848" s="128">
        <v>2009</v>
      </c>
      <c r="G848" s="128" t="s">
        <v>64</v>
      </c>
      <c r="H848" s="128">
        <v>5</v>
      </c>
      <c r="I848" s="128">
        <v>6</v>
      </c>
      <c r="J848" s="63">
        <v>7333.8</v>
      </c>
      <c r="K848" s="63">
        <v>6313.3</v>
      </c>
      <c r="L848" s="63">
        <v>0</v>
      </c>
      <c r="M848" s="129">
        <v>271</v>
      </c>
      <c r="N848" s="108">
        <v>2522204.77</v>
      </c>
      <c r="O848" s="63"/>
      <c r="P848" s="63"/>
      <c r="Q848" s="63"/>
      <c r="R848" s="62">
        <v>2522204.77</v>
      </c>
      <c r="S848" s="63"/>
      <c r="T848" s="63"/>
      <c r="U848" s="63">
        <v>339.46781054282201</v>
      </c>
      <c r="V848" s="63">
        <v>1430.2830200640001</v>
      </c>
      <c r="W848" s="59">
        <v>2024</v>
      </c>
      <c r="X848" s="6" t="e">
        <v>#REF!</v>
      </c>
      <c r="Z848" s="62">
        <f t="shared" si="215"/>
        <v>3106032.07</v>
      </c>
      <c r="AA848" s="55">
        <v>0</v>
      </c>
      <c r="AB848" s="55">
        <v>0</v>
      </c>
      <c r="AC848" s="55">
        <v>0</v>
      </c>
      <c r="AD848" s="55">
        <v>0</v>
      </c>
      <c r="AE848" s="55">
        <v>2097298.4587543798</v>
      </c>
      <c r="AF848" s="55"/>
      <c r="AG848" s="55">
        <v>0</v>
      </c>
      <c r="AH848" s="55">
        <v>0</v>
      </c>
      <c r="AI848" s="55">
        <v>0</v>
      </c>
      <c r="AJ848" s="55">
        <v>0</v>
      </c>
      <c r="AK848" s="55">
        <v>0</v>
      </c>
      <c r="AL848" s="55">
        <v>0</v>
      </c>
      <c r="AM848" s="55">
        <v>931809.62100000004</v>
      </c>
      <c r="AN848" s="63">
        <v>31060.3207</v>
      </c>
      <c r="AO848" s="64">
        <v>45863.669545620003</v>
      </c>
      <c r="AP848" s="61">
        <f>+N848-'Приложение №2'!E848</f>
        <v>1.6999999061226845E-3</v>
      </c>
      <c r="AQ848" s="1">
        <f>3434079.76-1658423.09</f>
        <v>1775656.6699999997</v>
      </c>
      <c r="AR848" s="3">
        <f>+(K848*10.5+L848*21)*12*0.85</f>
        <v>676154.43</v>
      </c>
      <c r="AS848" s="3">
        <f>+(K848*10.5+L848*21)*12*30-11045.36</f>
        <v>23853228.640000001</v>
      </c>
      <c r="AT848" s="6">
        <f t="shared" si="216"/>
        <v>-23853228.640000001</v>
      </c>
      <c r="AU848" s="6" t="e">
        <v>#REF!</v>
      </c>
      <c r="AV848" s="6" t="e">
        <v>#REF!</v>
      </c>
      <c r="AW848" s="110">
        <f t="shared" si="207"/>
        <v>2143162.1283</v>
      </c>
      <c r="AX848" s="55">
        <v>0</v>
      </c>
      <c r="AY848" s="55">
        <v>0</v>
      </c>
      <c r="AZ848" s="55">
        <v>0</v>
      </c>
      <c r="BA848" s="55">
        <v>0</v>
      </c>
      <c r="BB848" s="55">
        <v>2097298.4587543798</v>
      </c>
      <c r="BC848" s="55"/>
      <c r="BD848" s="55"/>
      <c r="BE848" s="55">
        <v>0</v>
      </c>
      <c r="BF848" s="55">
        <v>0</v>
      </c>
      <c r="BG848" s="55">
        <v>0</v>
      </c>
      <c r="BH848" s="55">
        <v>0</v>
      </c>
      <c r="BI848" s="55">
        <v>0</v>
      </c>
      <c r="BJ848" s="55"/>
      <c r="BK848" s="63"/>
      <c r="BL848" s="64">
        <v>45863.669545620003</v>
      </c>
      <c r="BM848" s="110">
        <f t="shared" si="208"/>
        <v>2143162.1283</v>
      </c>
      <c r="BN848" s="55">
        <v>0</v>
      </c>
      <c r="BO848" s="55">
        <v>0</v>
      </c>
      <c r="BP848" s="55">
        <v>0</v>
      </c>
      <c r="BQ848" s="55">
        <v>0</v>
      </c>
      <c r="BR848" s="55">
        <v>2097298.4587543798</v>
      </c>
      <c r="BS848" s="55"/>
      <c r="BT848" s="55"/>
      <c r="BU848" s="55">
        <v>0</v>
      </c>
      <c r="BV848" s="55">
        <v>0</v>
      </c>
      <c r="BW848" s="55">
        <v>0</v>
      </c>
      <c r="BX848" s="55">
        <v>0</v>
      </c>
      <c r="BY848" s="55">
        <v>0</v>
      </c>
      <c r="BZ848" s="55"/>
      <c r="CA848" s="63"/>
      <c r="CB848" s="64">
        <v>45863.669545620003</v>
      </c>
      <c r="CD848" s="75"/>
      <c r="CE848" s="6"/>
    </row>
    <row r="849" spans="1:84" x14ac:dyDescent="0.25">
      <c r="A849" s="105">
        <f t="shared" si="209"/>
        <v>827</v>
      </c>
      <c r="B849" s="106">
        <f t="shared" si="206"/>
        <v>367</v>
      </c>
      <c r="C849" s="107" t="s">
        <v>279</v>
      </c>
      <c r="D849" s="107" t="s">
        <v>762</v>
      </c>
      <c r="E849" s="128">
        <v>1981</v>
      </c>
      <c r="F849" s="128">
        <v>2010</v>
      </c>
      <c r="G849" s="128" t="s">
        <v>64</v>
      </c>
      <c r="H849" s="128">
        <v>4</v>
      </c>
      <c r="I849" s="128">
        <v>6</v>
      </c>
      <c r="J849" s="63">
        <v>5677</v>
      </c>
      <c r="K849" s="63">
        <v>4920.8</v>
      </c>
      <c r="L849" s="63">
        <v>0</v>
      </c>
      <c r="M849" s="129">
        <v>222</v>
      </c>
      <c r="N849" s="108">
        <v>1888304.11</v>
      </c>
      <c r="O849" s="63"/>
      <c r="P849" s="63"/>
      <c r="Q849" s="63"/>
      <c r="R849" s="62">
        <v>1649108.37</v>
      </c>
      <c r="S849" s="62">
        <v>239195.74</v>
      </c>
      <c r="T849" s="63"/>
      <c r="U849" s="63">
        <v>339.15578777841</v>
      </c>
      <c r="V849" s="63">
        <v>1431.2830200640001</v>
      </c>
      <c r="W849" s="59">
        <v>2024</v>
      </c>
      <c r="X849" s="6" t="e">
        <v>#REF!</v>
      </c>
      <c r="Z849" s="62">
        <f t="shared" si="215"/>
        <v>2418721.4499999997</v>
      </c>
      <c r="AA849" s="55">
        <v>0</v>
      </c>
      <c r="AB849" s="55">
        <v>0</v>
      </c>
      <c r="AC849" s="55">
        <v>0</v>
      </c>
      <c r="AD849" s="55">
        <v>0</v>
      </c>
      <c r="AE849" s="55">
        <v>1633202.9595693001</v>
      </c>
      <c r="AF849" s="55"/>
      <c r="AG849" s="55">
        <v>0</v>
      </c>
      <c r="AH849" s="55">
        <v>0</v>
      </c>
      <c r="AI849" s="55">
        <v>0</v>
      </c>
      <c r="AJ849" s="55">
        <v>0</v>
      </c>
      <c r="AK849" s="55">
        <v>0</v>
      </c>
      <c r="AL849" s="55">
        <v>0</v>
      </c>
      <c r="AM849" s="55">
        <v>725616.43500000006</v>
      </c>
      <c r="AN849" s="63">
        <v>24187.214499999998</v>
      </c>
      <c r="AO849" s="64">
        <v>35714.840930699997</v>
      </c>
      <c r="AP849" s="61">
        <f>+N849-'Приложение №2'!E849</f>
        <v>-5.0000008195638657E-4</v>
      </c>
      <c r="AQ849" s="1">
        <f>2315426.33-1193335.64</f>
        <v>1122090.6900000002</v>
      </c>
      <c r="AR849" s="3">
        <f>+(K849*10.5+L849*21)*12*0.85</f>
        <v>527017.68000000005</v>
      </c>
      <c r="AS849" s="3">
        <f>+(K849*10.5+L849*21)*12*30-284542.24</f>
        <v>18316081.760000002</v>
      </c>
      <c r="AT849" s="6">
        <f t="shared" si="216"/>
        <v>-18076886.020000003</v>
      </c>
      <c r="AU849" s="6" t="e">
        <v>#REF!</v>
      </c>
      <c r="AV849" s="6" t="e">
        <v>#REF!</v>
      </c>
      <c r="AW849" s="110">
        <f t="shared" si="207"/>
        <v>1668917.8005000001</v>
      </c>
      <c r="AX849" s="55">
        <v>0</v>
      </c>
      <c r="AY849" s="55">
        <v>0</v>
      </c>
      <c r="AZ849" s="55">
        <v>0</v>
      </c>
      <c r="BA849" s="55">
        <v>0</v>
      </c>
      <c r="BB849" s="55">
        <v>1633202.9595693001</v>
      </c>
      <c r="BC849" s="55"/>
      <c r="BD849" s="55"/>
      <c r="BE849" s="55">
        <v>0</v>
      </c>
      <c r="BF849" s="55">
        <v>0</v>
      </c>
      <c r="BG849" s="55">
        <v>0</v>
      </c>
      <c r="BH849" s="55">
        <v>0</v>
      </c>
      <c r="BI849" s="55">
        <v>0</v>
      </c>
      <c r="BJ849" s="55"/>
      <c r="BK849" s="63"/>
      <c r="BL849" s="64">
        <v>35714.840930699997</v>
      </c>
      <c r="BM849" s="110">
        <f t="shared" si="208"/>
        <v>1668917.8005000001</v>
      </c>
      <c r="BN849" s="55">
        <v>0</v>
      </c>
      <c r="BO849" s="55">
        <v>0</v>
      </c>
      <c r="BP849" s="55">
        <v>0</v>
      </c>
      <c r="BQ849" s="55">
        <v>0</v>
      </c>
      <c r="BR849" s="55">
        <v>1633202.9595693001</v>
      </c>
      <c r="BS849" s="55"/>
      <c r="BT849" s="55"/>
      <c r="BU849" s="55">
        <v>0</v>
      </c>
      <c r="BV849" s="55">
        <v>0</v>
      </c>
      <c r="BW849" s="55">
        <v>0</v>
      </c>
      <c r="BX849" s="55">
        <v>0</v>
      </c>
      <c r="BY849" s="55">
        <v>0</v>
      </c>
      <c r="BZ849" s="55"/>
      <c r="CA849" s="63"/>
      <c r="CB849" s="64">
        <v>35714.840930699997</v>
      </c>
      <c r="CD849" s="75"/>
      <c r="CE849" s="6"/>
      <c r="CF849" s="117"/>
    </row>
    <row r="850" spans="1:84" x14ac:dyDescent="0.25">
      <c r="A850" s="105">
        <f t="shared" si="209"/>
        <v>828</v>
      </c>
      <c r="B850" s="106">
        <f t="shared" si="206"/>
        <v>368</v>
      </c>
      <c r="C850" s="53" t="s">
        <v>279</v>
      </c>
      <c r="D850" s="53" t="s">
        <v>763</v>
      </c>
      <c r="E850" s="54">
        <v>1986</v>
      </c>
      <c r="F850" s="54">
        <v>2010</v>
      </c>
      <c r="G850" s="54" t="s">
        <v>64</v>
      </c>
      <c r="H850" s="54">
        <v>5</v>
      </c>
      <c r="I850" s="54">
        <v>4</v>
      </c>
      <c r="J850" s="55">
        <v>4920.8</v>
      </c>
      <c r="K850" s="55">
        <v>4295.6000000000004</v>
      </c>
      <c r="L850" s="55">
        <v>0</v>
      </c>
      <c r="M850" s="56">
        <v>193</v>
      </c>
      <c r="N850" s="112">
        <v>1791138.31</v>
      </c>
      <c r="O850" s="55"/>
      <c r="P850" s="63"/>
      <c r="Q850" s="63"/>
      <c r="R850" s="62">
        <v>1791138.31</v>
      </c>
      <c r="S850" s="63"/>
      <c r="T850" s="63"/>
      <c r="U850" s="63">
        <v>339.567030659279</v>
      </c>
      <c r="V850" s="63">
        <v>1433.2830200640001</v>
      </c>
      <c r="W850" s="59">
        <v>2024</v>
      </c>
      <c r="X850" s="6" t="e">
        <v>#REF!</v>
      </c>
      <c r="Z850" s="62">
        <f t="shared" si="215"/>
        <v>2113977.0099999998</v>
      </c>
      <c r="AA850" s="55">
        <v>0</v>
      </c>
      <c r="AB850" s="55">
        <v>0</v>
      </c>
      <c r="AC850" s="55">
        <v>0</v>
      </c>
      <c r="AD850" s="55">
        <v>0</v>
      </c>
      <c r="AE850" s="55">
        <v>1427429.15237034</v>
      </c>
      <c r="AF850" s="55"/>
      <c r="AG850" s="55">
        <v>0</v>
      </c>
      <c r="AH850" s="55">
        <v>0</v>
      </c>
      <c r="AI850" s="55">
        <v>0</v>
      </c>
      <c r="AJ850" s="55">
        <v>0</v>
      </c>
      <c r="AK850" s="55">
        <v>0</v>
      </c>
      <c r="AL850" s="55">
        <v>0</v>
      </c>
      <c r="AM850" s="55">
        <v>634193.103</v>
      </c>
      <c r="AN850" s="63">
        <v>21139.770100000002</v>
      </c>
      <c r="AO850" s="64">
        <v>31214.98452966</v>
      </c>
      <c r="AP850" s="61">
        <f>+N850-'Приложение №2'!E850</f>
        <v>-4.5296598691493273E-3</v>
      </c>
      <c r="AQ850" s="65">
        <v>2074367.19</v>
      </c>
      <c r="AR850" s="3">
        <f>+(K850*10.5+L850*21)*12*0.85</f>
        <v>460058.76000000007</v>
      </c>
      <c r="AS850" s="3">
        <f>+(K850*10.5+L850*21)*12*30</f>
        <v>16237368.000000004</v>
      </c>
      <c r="AT850" s="6">
        <f t="shared" si="216"/>
        <v>-16237368.000000004</v>
      </c>
      <c r="AU850" s="6" t="e">
        <v>#REF!</v>
      </c>
      <c r="AV850" s="6" t="e">
        <v>#REF!</v>
      </c>
      <c r="AW850" s="110">
        <f t="shared" si="207"/>
        <v>1458644.1369</v>
      </c>
      <c r="AX850" s="55">
        <v>0</v>
      </c>
      <c r="AY850" s="55">
        <v>0</v>
      </c>
      <c r="AZ850" s="55">
        <v>0</v>
      </c>
      <c r="BA850" s="55">
        <v>0</v>
      </c>
      <c r="BB850" s="55">
        <v>1427429.15237034</v>
      </c>
      <c r="BC850" s="55"/>
      <c r="BD850" s="55"/>
      <c r="BE850" s="55">
        <v>0</v>
      </c>
      <c r="BF850" s="55">
        <v>0</v>
      </c>
      <c r="BG850" s="55">
        <v>0</v>
      </c>
      <c r="BH850" s="55">
        <v>0</v>
      </c>
      <c r="BI850" s="55">
        <v>0</v>
      </c>
      <c r="BJ850" s="55"/>
      <c r="BK850" s="63"/>
      <c r="BL850" s="64">
        <v>31214.98452966</v>
      </c>
      <c r="BM850" s="110">
        <f t="shared" si="208"/>
        <v>1458644.1369</v>
      </c>
      <c r="BN850" s="55">
        <v>0</v>
      </c>
      <c r="BO850" s="55">
        <v>0</v>
      </c>
      <c r="BP850" s="55">
        <v>0</v>
      </c>
      <c r="BQ850" s="55">
        <v>0</v>
      </c>
      <c r="BR850" s="55">
        <v>1427429.15237034</v>
      </c>
      <c r="BS850" s="55"/>
      <c r="BT850" s="55"/>
      <c r="BU850" s="55">
        <v>0</v>
      </c>
      <c r="BV850" s="55">
        <v>0</v>
      </c>
      <c r="BW850" s="55">
        <v>0</v>
      </c>
      <c r="BX850" s="55">
        <v>0</v>
      </c>
      <c r="BY850" s="55">
        <v>0</v>
      </c>
      <c r="BZ850" s="55"/>
      <c r="CA850" s="63"/>
      <c r="CB850" s="64">
        <v>31214.98452966</v>
      </c>
      <c r="CD850" s="75"/>
      <c r="CE850" s="6"/>
    </row>
    <row r="851" spans="1:84" x14ac:dyDescent="0.25">
      <c r="A851" s="105">
        <f t="shared" si="209"/>
        <v>829</v>
      </c>
      <c r="B851" s="106">
        <f t="shared" si="206"/>
        <v>369</v>
      </c>
      <c r="C851" s="53" t="s">
        <v>764</v>
      </c>
      <c r="D851" s="53" t="s">
        <v>765</v>
      </c>
      <c r="E851" s="54">
        <v>1976</v>
      </c>
      <c r="F851" s="54">
        <v>1976</v>
      </c>
      <c r="G851" s="54" t="s">
        <v>64</v>
      </c>
      <c r="H851" s="54">
        <v>2</v>
      </c>
      <c r="I851" s="54">
        <v>1</v>
      </c>
      <c r="J851" s="55">
        <v>394</v>
      </c>
      <c r="K851" s="55">
        <v>375.6</v>
      </c>
      <c r="L851" s="55">
        <v>0</v>
      </c>
      <c r="M851" s="56">
        <v>38</v>
      </c>
      <c r="N851" s="112">
        <v>9242051.3800000008</v>
      </c>
      <c r="O851" s="55"/>
      <c r="P851" s="62">
        <v>3397803.43</v>
      </c>
      <c r="Q851" s="63"/>
      <c r="R851" s="62">
        <v>164955</v>
      </c>
      <c r="S851" s="62">
        <v>1419768</v>
      </c>
      <c r="T851" s="62">
        <v>4259524.95</v>
      </c>
      <c r="U851" s="63">
        <v>24910.991253969401</v>
      </c>
      <c r="V851" s="63">
        <v>1439.2830200640001</v>
      </c>
      <c r="W851" s="59">
        <v>2024</v>
      </c>
      <c r="X851" s="6" t="e">
        <v>#REF!</v>
      </c>
      <c r="Z851" s="62">
        <f t="shared" si="215"/>
        <v>7351295.8599999985</v>
      </c>
      <c r="AA851" s="55">
        <v>735304.27475400001</v>
      </c>
      <c r="AB851" s="55">
        <v>447441.06023399998</v>
      </c>
      <c r="AC851" s="55">
        <v>206096.467668</v>
      </c>
      <c r="AD851" s="55">
        <v>0</v>
      </c>
      <c r="AE851" s="55">
        <v>0</v>
      </c>
      <c r="AF851" s="55"/>
      <c r="AG851" s="55">
        <v>69083.307971999995</v>
      </c>
      <c r="AH851" s="55">
        <v>0</v>
      </c>
      <c r="AI851" s="55">
        <v>2116583.6327579999</v>
      </c>
      <c r="AJ851" s="55">
        <v>0</v>
      </c>
      <c r="AK851" s="55">
        <v>1764502.807326</v>
      </c>
      <c r="AL851" s="55">
        <v>1553997.7564439999</v>
      </c>
      <c r="AM851" s="55">
        <v>241340.1</v>
      </c>
      <c r="AN851" s="55">
        <v>66210.3</v>
      </c>
      <c r="AO851" s="64">
        <v>150736.152844</v>
      </c>
      <c r="AP851" s="61">
        <f>+N851-'Приложение №2'!E851</f>
        <v>5.0090886652469635E-3</v>
      </c>
      <c r="AQ851" s="65">
        <v>124728.24</v>
      </c>
      <c r="AR851" s="3">
        <f>+(K851*10.5+L851*21)*12*0.85</f>
        <v>40226.76</v>
      </c>
      <c r="AS851" s="3">
        <f>+(K851*10.5+L851*21)*12*30</f>
        <v>1419768.0000000002</v>
      </c>
      <c r="AT851" s="6">
        <f t="shared" si="216"/>
        <v>0</v>
      </c>
      <c r="AU851" s="6" t="e">
        <v>#REF!</v>
      </c>
      <c r="AV851" s="6" t="e">
        <v>#REF!</v>
      </c>
      <c r="AW851" s="110">
        <f t="shared" si="207"/>
        <v>9356568.3149909116</v>
      </c>
      <c r="AX851" s="55">
        <v>1499120.1748707001</v>
      </c>
      <c r="AY851" s="55"/>
      <c r="AZ851" s="55">
        <v>430222.50116461801</v>
      </c>
      <c r="BA851" s="55">
        <v>0</v>
      </c>
      <c r="BB851" s="55">
        <v>0</v>
      </c>
      <c r="BC851" s="55"/>
      <c r="BD851" s="55">
        <v>142891.972693549</v>
      </c>
      <c r="BE851" s="55">
        <v>0</v>
      </c>
      <c r="BF851" s="55"/>
      <c r="BG851" s="55">
        <v>0</v>
      </c>
      <c r="BH851" s="55">
        <v>3599331.7433198299</v>
      </c>
      <c r="BI851" s="55">
        <v>3186013.8208737099</v>
      </c>
      <c r="BJ851" s="55">
        <v>241340.1</v>
      </c>
      <c r="BK851" s="55">
        <v>66210.3</v>
      </c>
      <c r="BL851" s="64">
        <v>191437.702068504</v>
      </c>
      <c r="BM851" s="110">
        <f t="shared" si="208"/>
        <v>9356568.3149909116</v>
      </c>
      <c r="BN851" s="55">
        <v>1499120.1748707001</v>
      </c>
      <c r="BO851" s="55"/>
      <c r="BP851" s="55">
        <v>430222.50116461801</v>
      </c>
      <c r="BQ851" s="55">
        <v>0</v>
      </c>
      <c r="BR851" s="55">
        <v>0</v>
      </c>
      <c r="BS851" s="55"/>
      <c r="BT851" s="55">
        <v>142891.972693549</v>
      </c>
      <c r="BU851" s="55">
        <v>0</v>
      </c>
      <c r="BV851" s="55"/>
      <c r="BW851" s="55">
        <v>0</v>
      </c>
      <c r="BX851" s="55">
        <v>3599331.7433198299</v>
      </c>
      <c r="BY851" s="55">
        <v>3186013.8208737099</v>
      </c>
      <c r="BZ851" s="55">
        <v>241340.1</v>
      </c>
      <c r="CA851" s="55">
        <v>66210.3</v>
      </c>
      <c r="CB851" s="64">
        <v>191437.702068504</v>
      </c>
      <c r="CD851" s="75"/>
      <c r="CE851" s="6"/>
      <c r="CF851" s="6"/>
    </row>
    <row r="853" spans="1:84" x14ac:dyDescent="0.25">
      <c r="B853" s="186"/>
      <c r="C853" s="186" t="s">
        <v>766</v>
      </c>
      <c r="D853" s="186"/>
      <c r="E853" s="186"/>
    </row>
    <row r="854" spans="1:84" x14ac:dyDescent="0.25">
      <c r="C854" s="187" t="s">
        <v>583</v>
      </c>
      <c r="D854" s="186" t="s">
        <v>767</v>
      </c>
      <c r="E854" s="1"/>
    </row>
    <row r="855" spans="1:84" x14ac:dyDescent="0.25">
      <c r="C855" s="187" t="s">
        <v>583</v>
      </c>
      <c r="D855" s="186" t="s">
        <v>768</v>
      </c>
      <c r="E855" s="1"/>
    </row>
    <row r="856" spans="1:84" x14ac:dyDescent="0.25">
      <c r="B856" s="187"/>
    </row>
    <row r="857" spans="1:84" x14ac:dyDescent="0.25">
      <c r="C857" s="186" t="s">
        <v>769</v>
      </c>
      <c r="P857" s="3"/>
    </row>
    <row r="858" spans="1:84" x14ac:dyDescent="0.25">
      <c r="P858" s="3"/>
    </row>
    <row r="860" spans="1:84" x14ac:dyDescent="0.25">
      <c r="P860" s="6"/>
      <c r="S860" s="6"/>
    </row>
  </sheetData>
  <autoFilter ref="A12:BR851" xr:uid="{00000000-0009-0000-0000-000000000000}"/>
  <mergeCells count="55">
    <mergeCell ref="BI10:BI11"/>
    <mergeCell ref="BH10:BH11"/>
    <mergeCell ref="BG10:BG11"/>
    <mergeCell ref="BF10:BF11"/>
    <mergeCell ref="BE10:BE11"/>
    <mergeCell ref="AX9:BL9"/>
    <mergeCell ref="BN9:CB9"/>
    <mergeCell ref="BN10:BT10"/>
    <mergeCell ref="AX10:BD10"/>
    <mergeCell ref="CB10:CB11"/>
    <mergeCell ref="CA10:CA11"/>
    <mergeCell ref="BZ10:BZ11"/>
    <mergeCell ref="BY10:BY11"/>
    <mergeCell ref="BX10:BX11"/>
    <mergeCell ref="BW10:BW11"/>
    <mergeCell ref="BV10:BV11"/>
    <mergeCell ref="BU10:BU11"/>
    <mergeCell ref="BM9:BM11"/>
    <mergeCell ref="BL10:BL11"/>
    <mergeCell ref="BK10:BK11"/>
    <mergeCell ref="BJ10:BJ11"/>
    <mergeCell ref="K10:K11"/>
    <mergeCell ref="L10:L11"/>
    <mergeCell ref="M9:M11"/>
    <mergeCell ref="W9:W12"/>
    <mergeCell ref="V9:V11"/>
    <mergeCell ref="U9:U11"/>
    <mergeCell ref="N10:N11"/>
    <mergeCell ref="AW9:AW11"/>
    <mergeCell ref="O10:T10"/>
    <mergeCell ref="A6:W6"/>
    <mergeCell ref="K9:L9"/>
    <mergeCell ref="E9:F9"/>
    <mergeCell ref="N9:T9"/>
    <mergeCell ref="A9:A12"/>
    <mergeCell ref="B9:B12"/>
    <mergeCell ref="C9:C12"/>
    <mergeCell ref="D9:D12"/>
    <mergeCell ref="E10:E12"/>
    <mergeCell ref="F10:F12"/>
    <mergeCell ref="G9:G12"/>
    <mergeCell ref="H9:H12"/>
    <mergeCell ref="I9:I12"/>
    <mergeCell ref="J9:J11"/>
    <mergeCell ref="AL10:AL11"/>
    <mergeCell ref="AM10:AM11"/>
    <mergeCell ref="AN10:AN11"/>
    <mergeCell ref="AO10:AO11"/>
    <mergeCell ref="AA10:AG10"/>
    <mergeCell ref="Z9:Z11"/>
    <mergeCell ref="AH10:AH11"/>
    <mergeCell ref="AI10:AI11"/>
    <mergeCell ref="AJ10:AJ11"/>
    <mergeCell ref="AK10:AK11"/>
    <mergeCell ref="AA9:AO9"/>
  </mergeCells>
  <conditionalFormatting sqref="D27 D69 D112 D177 D217 D274 D290:D291 D326 D336 D339 D356:D357 D368:D369 D391 D405 D447 D462 D469 D491 D494:D495 D525 D539 D549 D573 D580 D584 D587 D663 D746:D748 D762:D765 D767 D779 D783:D784 D798 D800 D804 D806 D812 D820 D822:D823">
    <cfRule type="duplicateValues" dxfId="206" priority="125"/>
  </conditionalFormatting>
  <conditionalFormatting sqref="D345 D348">
    <cfRule type="duplicateValues" dxfId="205" priority="124"/>
  </conditionalFormatting>
  <conditionalFormatting sqref="D375 D480">
    <cfRule type="duplicateValues" dxfId="204" priority="123"/>
  </conditionalFormatting>
  <conditionalFormatting sqref="D471:D472">
    <cfRule type="duplicateValues" dxfId="203" priority="122"/>
  </conditionalFormatting>
  <conditionalFormatting sqref="D775:D778 D781:D782 D789">
    <cfRule type="duplicateValues" dxfId="202" priority="121"/>
  </conditionalFormatting>
  <conditionalFormatting sqref="D347">
    <cfRule type="duplicateValues" dxfId="201" priority="120"/>
  </conditionalFormatting>
  <conditionalFormatting sqref="D344">
    <cfRule type="duplicateValues" dxfId="200" priority="119"/>
  </conditionalFormatting>
  <conditionalFormatting sqref="D734 D736">
    <cfRule type="duplicateValues" dxfId="199" priority="118"/>
  </conditionalFormatting>
  <conditionalFormatting sqref="D518">
    <cfRule type="duplicateValues" dxfId="198" priority="117"/>
  </conditionalFormatting>
  <conditionalFormatting sqref="D18:D25 D28:D48 D50:D51 D53:D54 D56:D57 D59 D61:D65 D67:D68 D70:D74 D77 D80:D94 D96 D98:D105 D107:D108 D110 D113:D114 D117:D121 D123:D126 D128:D129 D132:D135 D137 D139 D145:D153 D155:D162 D164:D167 D170 D172 D176 D180:D191 D193:D202 D219 D456">
    <cfRule type="duplicateValues" dxfId="197" priority="116"/>
  </conditionalFormatting>
  <conditionalFormatting sqref="D406">
    <cfRule type="duplicateValues" dxfId="196" priority="115"/>
  </conditionalFormatting>
  <conditionalFormatting sqref="D851">
    <cfRule type="duplicateValues" dxfId="195" priority="114"/>
  </conditionalFormatting>
  <conditionalFormatting sqref="D461 D766 D768:D771 D773:D774">
    <cfRule type="duplicateValues" dxfId="194" priority="113"/>
  </conditionalFormatting>
  <conditionalFormatting sqref="D523">
    <cfRule type="duplicateValues" dxfId="193" priority="112"/>
  </conditionalFormatting>
  <conditionalFormatting sqref="D244">
    <cfRule type="duplicateValues" dxfId="192" priority="111"/>
  </conditionalFormatting>
  <conditionalFormatting sqref="D656">
    <cfRule type="duplicateValues" dxfId="191" priority="110"/>
  </conditionalFormatting>
  <conditionalFormatting sqref="D786">
    <cfRule type="duplicateValues" dxfId="190" priority="109"/>
  </conditionalFormatting>
  <conditionalFormatting sqref="D796 D803">
    <cfRule type="duplicateValues" dxfId="189" priority="108"/>
  </conditionalFormatting>
  <conditionalFormatting sqref="D419">
    <cfRule type="duplicateValues" dxfId="188" priority="107"/>
  </conditionalFormatting>
  <conditionalFormatting sqref="D814">
    <cfRule type="duplicateValues" dxfId="187" priority="106"/>
  </conditionalFormatting>
  <conditionalFormatting sqref="D284">
    <cfRule type="duplicateValues" dxfId="186" priority="105"/>
  </conditionalFormatting>
  <conditionalFormatting sqref="D837">
    <cfRule type="duplicateValues" dxfId="185" priority="104"/>
  </conditionalFormatting>
  <conditionalFormatting sqref="D838">
    <cfRule type="duplicateValues" dxfId="184" priority="103"/>
  </conditionalFormatting>
  <conditionalFormatting sqref="D834">
    <cfRule type="duplicateValues" dxfId="183" priority="102"/>
  </conditionalFormatting>
  <conditionalFormatting sqref="D579">
    <cfRule type="duplicateValues" dxfId="182" priority="101"/>
  </conditionalFormatting>
  <conditionalFormatting sqref="D582">
    <cfRule type="duplicateValues" dxfId="181" priority="100"/>
  </conditionalFormatting>
  <conditionalFormatting sqref="D376 D380">
    <cfRule type="duplicateValues" dxfId="180" priority="99"/>
  </conditionalFormatting>
  <conditionalFormatting sqref="D214">
    <cfRule type="duplicateValues" dxfId="179" priority="98"/>
  </conditionalFormatting>
  <conditionalFormatting sqref="D232">
    <cfRule type="duplicateValues" dxfId="178" priority="97"/>
  </conditionalFormatting>
  <conditionalFormatting sqref="D242">
    <cfRule type="duplicateValues" dxfId="177" priority="96"/>
  </conditionalFormatting>
  <conditionalFormatting sqref="D66">
    <cfRule type="duplicateValues" dxfId="176" priority="95"/>
  </conditionalFormatting>
  <conditionalFormatting sqref="D106">
    <cfRule type="duplicateValues" dxfId="175" priority="94"/>
  </conditionalFormatting>
  <conditionalFormatting sqref="D303">
    <cfRule type="duplicateValues" dxfId="174" priority="93"/>
  </conditionalFormatting>
  <conditionalFormatting sqref="D136">
    <cfRule type="duplicateValues" dxfId="173" priority="92"/>
  </conditionalFormatting>
  <conditionalFormatting sqref="D138">
    <cfRule type="duplicateValues" dxfId="172" priority="91"/>
  </conditionalFormatting>
  <conditionalFormatting sqref="D813">
    <cfRule type="duplicateValues" dxfId="171" priority="90"/>
  </conditionalFormatting>
  <conditionalFormatting sqref="D818:D819">
    <cfRule type="duplicateValues" dxfId="170" priority="89"/>
  </conditionalFormatting>
  <conditionalFormatting sqref="D479">
    <cfRule type="duplicateValues" dxfId="169" priority="88"/>
  </conditionalFormatting>
  <conditionalFormatting sqref="D370:D372">
    <cfRule type="duplicateValues" dxfId="168" priority="87"/>
  </conditionalFormatting>
  <conditionalFormatting sqref="D373 D847">
    <cfRule type="duplicateValues" dxfId="167" priority="86"/>
  </conditionalFormatting>
  <conditionalFormatting sqref="D210">
    <cfRule type="duplicateValues" dxfId="166" priority="85"/>
  </conditionalFormatting>
  <conditionalFormatting sqref="D218">
    <cfRule type="duplicateValues" dxfId="165" priority="84"/>
  </conditionalFormatting>
  <conditionalFormatting sqref="D532">
    <cfRule type="duplicateValues" dxfId="164" priority="83"/>
  </conditionalFormatting>
  <conditionalFormatting sqref="D534">
    <cfRule type="duplicateValues" dxfId="163" priority="82"/>
  </conditionalFormatting>
  <conditionalFormatting sqref="D248">
    <cfRule type="duplicateValues" dxfId="162" priority="81"/>
  </conditionalFormatting>
  <conditionalFormatting sqref="D598">
    <cfRule type="duplicateValues" dxfId="161" priority="80"/>
  </conditionalFormatting>
  <conditionalFormatting sqref="D267">
    <cfRule type="duplicateValues" dxfId="160" priority="79"/>
  </conditionalFormatting>
  <conditionalFormatting sqref="D652">
    <cfRule type="duplicateValues" dxfId="159" priority="78"/>
  </conditionalFormatting>
  <conditionalFormatting sqref="D309">
    <cfRule type="duplicateValues" dxfId="158" priority="77"/>
  </conditionalFormatting>
  <conditionalFormatting sqref="D436">
    <cfRule type="duplicateValues" dxfId="157" priority="76"/>
  </conditionalFormatting>
  <conditionalFormatting sqref="D333:D334">
    <cfRule type="duplicateValues" dxfId="156" priority="75"/>
  </conditionalFormatting>
  <conditionalFormatting sqref="D355">
    <cfRule type="duplicateValues" dxfId="155" priority="74"/>
  </conditionalFormatting>
  <conditionalFormatting sqref="D846">
    <cfRule type="duplicateValues" dxfId="154" priority="73"/>
  </conditionalFormatting>
  <conditionalFormatting sqref="D169">
    <cfRule type="duplicateValues" dxfId="153" priority="72"/>
  </conditionalFormatting>
  <conditionalFormatting sqref="D173">
    <cfRule type="duplicateValues" dxfId="152" priority="71"/>
  </conditionalFormatting>
  <conditionalFormatting sqref="D246">
    <cfRule type="duplicateValues" dxfId="151" priority="70"/>
  </conditionalFormatting>
  <conditionalFormatting sqref="D270">
    <cfRule type="duplicateValues" dxfId="150" priority="69"/>
  </conditionalFormatting>
  <conditionalFormatting sqref="D636">
    <cfRule type="duplicateValues" dxfId="149" priority="68"/>
  </conditionalFormatting>
  <conditionalFormatting sqref="D283">
    <cfRule type="duplicateValues" dxfId="148" priority="67"/>
  </conditionalFormatting>
  <conditionalFormatting sqref="D295">
    <cfRule type="duplicateValues" dxfId="147" priority="66"/>
  </conditionalFormatting>
  <conditionalFormatting sqref="D315">
    <cfRule type="duplicateValues" dxfId="146" priority="65"/>
  </conditionalFormatting>
  <conditionalFormatting sqref="D455">
    <cfRule type="duplicateValues" dxfId="145" priority="64"/>
  </conditionalFormatting>
  <conditionalFormatting sqref="D175">
    <cfRule type="duplicateValues" dxfId="144" priority="63"/>
  </conditionalFormatting>
  <conditionalFormatting sqref="D49">
    <cfRule type="duplicateValues" dxfId="143" priority="62"/>
  </conditionalFormatting>
  <conditionalFormatting sqref="D243">
    <cfRule type="duplicateValues" dxfId="142" priority="61"/>
  </conditionalFormatting>
  <conditionalFormatting sqref="D671">
    <cfRule type="duplicateValues" dxfId="141" priority="60"/>
  </conditionalFormatting>
  <conditionalFormatting sqref="D502">
    <cfRule type="duplicateValues" dxfId="140" priority="59"/>
  </conditionalFormatting>
  <conditionalFormatting sqref="D585">
    <cfRule type="duplicateValues" dxfId="139" priority="58"/>
  </conditionalFormatting>
  <conditionalFormatting sqref="D388">
    <cfRule type="duplicateValues" dxfId="138" priority="57"/>
  </conditionalFormatting>
  <conditionalFormatting sqref="D221">
    <cfRule type="duplicateValues" dxfId="137" priority="56"/>
  </conditionalFormatting>
  <conditionalFormatting sqref="D222">
    <cfRule type="duplicateValues" dxfId="136" priority="55"/>
  </conditionalFormatting>
  <conditionalFormatting sqref="D245">
    <cfRule type="duplicateValues" dxfId="135" priority="54"/>
  </conditionalFormatting>
  <conditionalFormatting sqref="D249">
    <cfRule type="duplicateValues" dxfId="134" priority="53"/>
  </conditionalFormatting>
  <conditionalFormatting sqref="D280">
    <cfRule type="duplicateValues" dxfId="133" priority="52"/>
  </conditionalFormatting>
  <conditionalFormatting sqref="D319:D320">
    <cfRule type="duplicateValues" dxfId="132" priority="51"/>
  </conditionalFormatting>
  <conditionalFormatting sqref="D374">
    <cfRule type="duplicateValues" dxfId="131" priority="50"/>
  </conditionalFormatting>
  <conditionalFormatting sqref="D171">
    <cfRule type="duplicateValues" dxfId="130" priority="49"/>
  </conditionalFormatting>
  <conditionalFormatting sqref="D617">
    <cfRule type="duplicateValues" dxfId="129" priority="48"/>
  </conditionalFormatting>
  <conditionalFormatting sqref="D220">
    <cfRule type="duplicateValues" dxfId="128" priority="47"/>
  </conditionalFormatting>
  <conditionalFormatting sqref="D678">
    <cfRule type="duplicateValues" dxfId="127" priority="46"/>
  </conditionalFormatting>
  <conditionalFormatting sqref="D384">
    <cfRule type="duplicateValues" dxfId="126" priority="45"/>
  </conditionalFormatting>
  <conditionalFormatting sqref="D241">
    <cfRule type="duplicateValues" dxfId="125" priority="44"/>
  </conditionalFormatting>
  <conditionalFormatting sqref="D421">
    <cfRule type="duplicateValues" dxfId="124" priority="43"/>
  </conditionalFormatting>
  <conditionalFormatting sqref="D307">
    <cfRule type="duplicateValues" dxfId="123" priority="42"/>
  </conditionalFormatting>
  <conditionalFormatting sqref="D485">
    <cfRule type="duplicateValues" dxfId="122" priority="41"/>
  </conditionalFormatting>
  <conditionalFormatting sqref="D555">
    <cfRule type="duplicateValues" dxfId="121" priority="40"/>
  </conditionalFormatting>
  <conditionalFormatting sqref="D593">
    <cfRule type="duplicateValues" dxfId="120" priority="39"/>
  </conditionalFormatting>
  <conditionalFormatting sqref="D595">
    <cfRule type="duplicateValues" dxfId="119" priority="38"/>
  </conditionalFormatting>
  <conditionalFormatting sqref="D649">
    <cfRule type="duplicateValues" dxfId="118" priority="37"/>
  </conditionalFormatting>
  <conditionalFormatting sqref="D653">
    <cfRule type="duplicateValues" dxfId="117" priority="36"/>
  </conditionalFormatting>
  <conditionalFormatting sqref="D689">
    <cfRule type="duplicateValues" dxfId="116" priority="35"/>
  </conditionalFormatting>
  <conditionalFormatting sqref="D708">
    <cfRule type="duplicateValues" dxfId="115" priority="34"/>
  </conditionalFormatting>
  <conditionalFormatting sqref="D780">
    <cfRule type="duplicateValues" dxfId="114" priority="33"/>
  </conditionalFormatting>
  <conditionalFormatting sqref="D772">
    <cfRule type="duplicateValues" dxfId="113" priority="32"/>
  </conditionalFormatting>
  <conditionalFormatting sqref="D749">
    <cfRule type="duplicateValues" dxfId="112" priority="31"/>
  </conditionalFormatting>
  <conditionalFormatting sqref="D301">
    <cfRule type="duplicateValues" dxfId="111" priority="30"/>
  </conditionalFormatting>
  <conditionalFormatting sqref="D367">
    <cfRule type="duplicateValues" dxfId="110" priority="29"/>
  </conditionalFormatting>
  <conditionalFormatting sqref="D489">
    <cfRule type="duplicateValues" dxfId="109" priority="28"/>
  </conditionalFormatting>
  <conditionalFormatting sqref="D594">
    <cfRule type="duplicateValues" dxfId="108" priority="27"/>
  </conditionalFormatting>
  <conditionalFormatting sqref="D591">
    <cfRule type="duplicateValues" dxfId="107" priority="26"/>
  </conditionalFormatting>
  <conditionalFormatting sqref="D596">
    <cfRule type="duplicateValues" dxfId="106" priority="25"/>
  </conditionalFormatting>
  <conditionalFormatting sqref="D619">
    <cfRule type="duplicateValues" dxfId="105" priority="24"/>
  </conditionalFormatting>
  <conditionalFormatting sqref="D621">
    <cfRule type="duplicateValues" dxfId="104" priority="23"/>
  </conditionalFormatting>
  <conditionalFormatting sqref="D644">
    <cfRule type="duplicateValues" dxfId="103" priority="22"/>
  </conditionalFormatting>
  <conditionalFormatting sqref="D423">
    <cfRule type="duplicateValues" dxfId="102" priority="21"/>
  </conditionalFormatting>
  <conditionalFormatting sqref="D701">
    <cfRule type="duplicateValues" dxfId="101" priority="20"/>
  </conditionalFormatting>
  <conditionalFormatting sqref="D451">
    <cfRule type="duplicateValues" dxfId="100" priority="19"/>
  </conditionalFormatting>
  <conditionalFormatting sqref="D741">
    <cfRule type="duplicateValues" dxfId="99" priority="18"/>
  </conditionalFormatting>
  <conditionalFormatting sqref="D468">
    <cfRule type="duplicateValues" dxfId="98" priority="17"/>
  </conditionalFormatting>
  <conditionalFormatting sqref="D470">
    <cfRule type="duplicateValues" dxfId="97" priority="16"/>
  </conditionalFormatting>
  <conditionalFormatting sqref="D477">
    <cfRule type="duplicateValues" dxfId="96" priority="15"/>
  </conditionalFormatting>
  <conditionalFormatting sqref="D824">
    <cfRule type="duplicateValues" dxfId="95" priority="14"/>
  </conditionalFormatting>
  <conditionalFormatting sqref="D382">
    <cfRule type="duplicateValues" dxfId="94" priority="13"/>
  </conditionalFormatting>
  <conditionalFormatting sqref="D592">
    <cfRule type="duplicateValues" dxfId="93" priority="12"/>
  </conditionalFormatting>
  <conditionalFormatting sqref="D666">
    <cfRule type="duplicateValues" dxfId="92" priority="11"/>
  </conditionalFormatting>
  <conditionalFormatting sqref="D250">
    <cfRule type="duplicateValues" dxfId="91" priority="10"/>
  </conditionalFormatting>
  <conditionalFormatting sqref="D414">
    <cfRule type="duplicateValues" dxfId="90" priority="9"/>
  </conditionalFormatting>
  <conditionalFormatting sqref="D425">
    <cfRule type="duplicateValues" dxfId="89" priority="8"/>
  </conditionalFormatting>
  <conditionalFormatting sqref="D426">
    <cfRule type="duplicateValues" dxfId="88" priority="7"/>
  </conditionalFormatting>
  <conditionalFormatting sqref="D458">
    <cfRule type="duplicateValues" dxfId="87" priority="6"/>
  </conditionalFormatting>
  <conditionalFormatting sqref="D467">
    <cfRule type="duplicateValues" dxfId="86" priority="5"/>
  </conditionalFormatting>
  <conditionalFormatting sqref="D378">
    <cfRule type="duplicateValues" dxfId="85" priority="4"/>
  </conditionalFormatting>
  <conditionalFormatting sqref="D377">
    <cfRule type="duplicateValues" dxfId="84" priority="3"/>
  </conditionalFormatting>
  <conditionalFormatting sqref="D597">
    <cfRule type="duplicateValues" dxfId="83" priority="2"/>
  </conditionalFormatting>
  <conditionalFormatting sqref="D433">
    <cfRule type="duplicateValues" dxfId="82" priority="1"/>
  </conditionalFormatting>
  <pageMargins left="0.39370077848434398" right="0.39370077848434398" top="0.39370077848434398" bottom="0.39370077848434398" header="0.31496062874794001" footer="0.31496062874794001"/>
  <pageSetup paperSize="9" fitToHeight="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CB859"/>
  <sheetViews>
    <sheetView showZeros="0" workbookViewId="0">
      <pane xSplit="4" ySplit="12" topLeftCell="E13" activePane="bottomRight" state="frozen"/>
      <selection pane="topRight"/>
      <selection pane="bottomLeft"/>
      <selection pane="bottomRight" activeCell="E13" sqref="E13"/>
    </sheetView>
  </sheetViews>
  <sheetFormatPr defaultColWidth="9.140625" defaultRowHeight="15" x14ac:dyDescent="0.25"/>
  <cols>
    <col min="1" max="1" width="8.140625" style="1" customWidth="1"/>
    <col min="2" max="2" width="9" style="1" customWidth="1"/>
    <col min="3" max="3" width="58.7109375" style="1" customWidth="1"/>
    <col min="4" max="4" width="70.28515625" style="1" customWidth="1"/>
    <col min="5" max="5" width="20.28515625" style="1" customWidth="1"/>
    <col min="6" max="6" width="18.85546875" style="1" customWidth="1"/>
    <col min="7" max="11" width="16.85546875" style="1" customWidth="1"/>
    <col min="12" max="12" width="18.140625" style="1" customWidth="1"/>
    <col min="13" max="13" width="16.85546875" style="1" customWidth="1"/>
    <col min="14" max="14" width="18.28515625" style="1" customWidth="1"/>
    <col min="15" max="15" width="16.85546875" style="1" customWidth="1"/>
    <col min="16" max="16" width="20.42578125" style="1" customWidth="1"/>
    <col min="17" max="20" width="16.85546875" style="1" customWidth="1"/>
    <col min="21" max="21" width="15.140625" style="1" customWidth="1"/>
    <col min="22" max="22" width="14.28515625" style="1" bestFit="1" customWidth="1"/>
    <col min="23" max="23" width="13" style="1" bestFit="1" customWidth="1"/>
    <col min="24" max="24" width="9.140625" style="1" bestFit="1" customWidth="1"/>
    <col min="25" max="25" width="23.85546875" style="1" customWidth="1"/>
    <col min="26" max="26" width="9.140625" style="1" bestFit="1" customWidth="1"/>
    <col min="27" max="16384" width="9.140625" style="1"/>
  </cols>
  <sheetData>
    <row r="1" spans="1:70" x14ac:dyDescent="0.25">
      <c r="A1" s="12"/>
      <c r="B1" s="12"/>
      <c r="C1" s="12"/>
      <c r="D1" s="12"/>
      <c r="S1" s="188"/>
      <c r="T1" s="188" t="s">
        <v>770</v>
      </c>
    </row>
    <row r="2" spans="1:70" x14ac:dyDescent="0.25">
      <c r="A2" s="12"/>
      <c r="B2" s="12"/>
      <c r="C2" s="12"/>
      <c r="D2" s="12"/>
      <c r="T2" s="188" t="s">
        <v>1</v>
      </c>
    </row>
    <row r="3" spans="1:70" x14ac:dyDescent="0.25">
      <c r="A3" s="12"/>
      <c r="B3" s="12"/>
      <c r="C3" s="12"/>
      <c r="D3" s="12"/>
      <c r="T3" s="189"/>
    </row>
    <row r="4" spans="1:70" x14ac:dyDescent="0.25">
      <c r="A4" s="12"/>
      <c r="B4" s="12"/>
      <c r="C4" s="12"/>
      <c r="D4" s="12"/>
    </row>
    <row r="5" spans="1:70" x14ac:dyDescent="0.25">
      <c r="A5" s="12"/>
      <c r="B5" s="12"/>
      <c r="C5" s="12"/>
      <c r="D5" s="12"/>
    </row>
    <row r="6" spans="1:70" ht="20.25" x14ac:dyDescent="0.25">
      <c r="A6" s="224" t="s">
        <v>771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</row>
    <row r="7" spans="1:70" x14ac:dyDescent="0.25">
      <c r="A7" s="12"/>
      <c r="B7" s="12"/>
      <c r="C7" s="12"/>
      <c r="D7" s="12"/>
    </row>
    <row r="8" spans="1:70" x14ac:dyDescent="0.25">
      <c r="A8" s="12"/>
      <c r="B8" s="12"/>
      <c r="C8" s="12"/>
      <c r="D8" s="12"/>
    </row>
    <row r="9" spans="1:70" s="18" customFormat="1" ht="14.25" customHeight="1" x14ac:dyDescent="0.25">
      <c r="A9" s="249" t="s">
        <v>3</v>
      </c>
      <c r="B9" s="249" t="s">
        <v>3</v>
      </c>
      <c r="C9" s="227" t="s">
        <v>4</v>
      </c>
      <c r="D9" s="227" t="s">
        <v>5</v>
      </c>
      <c r="E9" s="216" t="s">
        <v>17</v>
      </c>
      <c r="F9" s="216" t="s">
        <v>19</v>
      </c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20"/>
    </row>
    <row r="10" spans="1:70" s="18" customFormat="1" ht="14.25" x14ac:dyDescent="0.25">
      <c r="A10" s="230"/>
      <c r="B10" s="230"/>
      <c r="C10" s="233"/>
      <c r="D10" s="233"/>
      <c r="E10" s="217"/>
      <c r="F10" s="251" t="s">
        <v>26</v>
      </c>
      <c r="G10" s="252"/>
      <c r="H10" s="252"/>
      <c r="I10" s="252"/>
      <c r="J10" s="252"/>
      <c r="K10" s="252"/>
      <c r="L10" s="253"/>
      <c r="M10" s="216" t="s">
        <v>27</v>
      </c>
      <c r="N10" s="216" t="s">
        <v>28</v>
      </c>
      <c r="O10" s="216" t="s">
        <v>29</v>
      </c>
      <c r="P10" s="216" t="s">
        <v>35</v>
      </c>
      <c r="Q10" s="216" t="s">
        <v>31</v>
      </c>
      <c r="R10" s="216" t="s">
        <v>36</v>
      </c>
      <c r="S10" s="216" t="s">
        <v>33</v>
      </c>
      <c r="T10" s="216" t="s">
        <v>34</v>
      </c>
    </row>
    <row r="11" spans="1:70" s="18" customFormat="1" ht="177.75" customHeight="1" x14ac:dyDescent="0.25">
      <c r="A11" s="230"/>
      <c r="B11" s="230"/>
      <c r="C11" s="233"/>
      <c r="D11" s="233"/>
      <c r="E11" s="218"/>
      <c r="F11" s="20" t="s">
        <v>43</v>
      </c>
      <c r="G11" s="20" t="s">
        <v>53</v>
      </c>
      <c r="H11" s="20" t="s">
        <v>45</v>
      </c>
      <c r="I11" s="20" t="s">
        <v>46</v>
      </c>
      <c r="J11" s="20" t="s">
        <v>47</v>
      </c>
      <c r="K11" s="20" t="s">
        <v>48</v>
      </c>
      <c r="L11" s="20" t="s">
        <v>49</v>
      </c>
      <c r="M11" s="218"/>
      <c r="N11" s="218"/>
      <c r="O11" s="218"/>
      <c r="P11" s="218"/>
      <c r="Q11" s="218"/>
      <c r="R11" s="218"/>
      <c r="S11" s="218"/>
      <c r="T11" s="218"/>
    </row>
    <row r="12" spans="1:70" s="18" customFormat="1" ht="14.25" x14ac:dyDescent="0.25">
      <c r="A12" s="250"/>
      <c r="B12" s="250"/>
      <c r="C12" s="248"/>
      <c r="D12" s="248"/>
      <c r="E12" s="20" t="s">
        <v>56</v>
      </c>
      <c r="F12" s="20" t="s">
        <v>56</v>
      </c>
      <c r="G12" s="20" t="s">
        <v>56</v>
      </c>
      <c r="H12" s="20" t="s">
        <v>56</v>
      </c>
      <c r="I12" s="20" t="s">
        <v>56</v>
      </c>
      <c r="J12" s="20" t="s">
        <v>56</v>
      </c>
      <c r="K12" s="20" t="s">
        <v>56</v>
      </c>
      <c r="L12" s="20" t="s">
        <v>56</v>
      </c>
      <c r="M12" s="20" t="s">
        <v>56</v>
      </c>
      <c r="N12" s="20" t="s">
        <v>56</v>
      </c>
      <c r="O12" s="20" t="s">
        <v>56</v>
      </c>
      <c r="P12" s="20" t="s">
        <v>56</v>
      </c>
      <c r="Q12" s="20" t="s">
        <v>56</v>
      </c>
      <c r="R12" s="20" t="s">
        <v>56</v>
      </c>
      <c r="S12" s="20" t="s">
        <v>56</v>
      </c>
      <c r="T12" s="20" t="s">
        <v>56</v>
      </c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</row>
    <row r="13" spans="1:70" s="26" customFormat="1" x14ac:dyDescent="0.25">
      <c r="A13" s="28"/>
      <c r="B13" s="28"/>
      <c r="C13" s="29"/>
      <c r="D13" s="29" t="s">
        <v>58</v>
      </c>
      <c r="E13" s="40">
        <f t="shared" ref="E13:T13" si="0">+E14+E206+E481</f>
        <v>8602179743.3650284</v>
      </c>
      <c r="F13" s="40">
        <f t="shared" si="0"/>
        <v>1487751249.8093801</v>
      </c>
      <c r="G13" s="40">
        <f t="shared" si="0"/>
        <v>480515232.15980905</v>
      </c>
      <c r="H13" s="40">
        <f t="shared" si="0"/>
        <v>592361808.45974863</v>
      </c>
      <c r="I13" s="40">
        <f t="shared" si="0"/>
        <v>403186460.08679932</v>
      </c>
      <c r="J13" s="40">
        <f t="shared" si="0"/>
        <v>118509535.55267346</v>
      </c>
      <c r="K13" s="40">
        <f t="shared" si="0"/>
        <v>0</v>
      </c>
      <c r="L13" s="40">
        <f t="shared" si="0"/>
        <v>33991067.404570378</v>
      </c>
      <c r="M13" s="40">
        <f t="shared" si="0"/>
        <v>331695371.56643283</v>
      </c>
      <c r="N13" s="40">
        <f t="shared" si="0"/>
        <v>1461256876.6522856</v>
      </c>
      <c r="O13" s="40">
        <f t="shared" si="0"/>
        <v>278087556.57251537</v>
      </c>
      <c r="P13" s="40">
        <f t="shared" si="0"/>
        <v>2087305885.0114899</v>
      </c>
      <c r="Q13" s="40">
        <f t="shared" si="0"/>
        <v>738074905.66143298</v>
      </c>
      <c r="R13" s="40">
        <f t="shared" si="0"/>
        <v>107556362.68928808</v>
      </c>
      <c r="S13" s="40">
        <f t="shared" si="0"/>
        <v>9657819.0708952099</v>
      </c>
      <c r="T13" s="40">
        <f t="shared" si="0"/>
        <v>324920927.62770855</v>
      </c>
      <c r="U13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0"/>
      <c r="BG13" s="190"/>
      <c r="BH13" s="190"/>
      <c r="BI13" s="190"/>
      <c r="BJ13" s="190"/>
      <c r="BK13" s="190"/>
      <c r="BL13" s="190"/>
      <c r="BM13" s="190"/>
      <c r="BN13" s="190"/>
      <c r="BO13" s="190"/>
      <c r="BP13" s="190"/>
      <c r="BQ13" s="190"/>
      <c r="BR13" s="190"/>
    </row>
    <row r="14" spans="1:70" s="42" customFormat="1" x14ac:dyDescent="0.25">
      <c r="A14" s="44"/>
      <c r="B14" s="44"/>
      <c r="C14" s="44"/>
      <c r="D14" s="44" t="s">
        <v>59</v>
      </c>
      <c r="E14" s="45">
        <f>SUM(F14:T14)+E15+E16</f>
        <v>1900672841.2825878</v>
      </c>
      <c r="F14" s="45">
        <f t="shared" ref="F14:T14" si="1">+F15+F17</f>
        <v>261418719.91</v>
      </c>
      <c r="G14" s="45">
        <f t="shared" si="1"/>
        <v>92211687.10999997</v>
      </c>
      <c r="H14" s="45">
        <f t="shared" si="1"/>
        <v>91010822.590000033</v>
      </c>
      <c r="I14" s="45">
        <f t="shared" si="1"/>
        <v>100780746.21000001</v>
      </c>
      <c r="J14" s="45">
        <f t="shared" si="1"/>
        <v>20726332.382261999</v>
      </c>
      <c r="K14" s="45">
        <f t="shared" si="1"/>
        <v>0</v>
      </c>
      <c r="L14" s="45">
        <f t="shared" si="1"/>
        <v>0</v>
      </c>
      <c r="M14" s="45">
        <f t="shared" si="1"/>
        <v>28694966.41</v>
      </c>
      <c r="N14" s="45">
        <f t="shared" si="1"/>
        <v>417243389.46806598</v>
      </c>
      <c r="O14" s="45">
        <f t="shared" si="1"/>
        <v>79372152.859999985</v>
      </c>
      <c r="P14" s="45">
        <f t="shared" si="1"/>
        <v>386032575.02000004</v>
      </c>
      <c r="Q14" s="45">
        <f t="shared" si="1"/>
        <v>162824150.38999999</v>
      </c>
      <c r="R14" s="45">
        <f t="shared" si="1"/>
        <v>44622520.010968477</v>
      </c>
      <c r="S14" s="45">
        <f t="shared" si="1"/>
        <v>3686982.5281604878</v>
      </c>
      <c r="T14" s="45">
        <f t="shared" si="1"/>
        <v>64739111.35313078</v>
      </c>
      <c r="U14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1"/>
      <c r="BL14" s="191"/>
      <c r="BM14" s="191"/>
      <c r="BN14" s="191"/>
      <c r="BO14" s="191"/>
      <c r="BP14" s="191"/>
      <c r="BQ14" s="191"/>
      <c r="BR14" s="191"/>
    </row>
    <row r="15" spans="1:70" s="42" customFormat="1" x14ac:dyDescent="0.25">
      <c r="A15" s="192"/>
      <c r="B15" s="44"/>
      <c r="C15" s="44"/>
      <c r="D15" s="44" t="s">
        <v>60</v>
      </c>
      <c r="E15" s="45">
        <v>147308685.03999999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50"/>
      <c r="U15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191"/>
      <c r="BN15" s="191"/>
      <c r="BO15" s="191"/>
      <c r="BP15" s="191"/>
      <c r="BQ15" s="191"/>
      <c r="BR15" s="191"/>
    </row>
    <row r="16" spans="1:70" s="42" customFormat="1" x14ac:dyDescent="0.25">
      <c r="A16" s="192"/>
      <c r="B16" s="44"/>
      <c r="C16" s="44"/>
      <c r="D16" s="44" t="s">
        <v>61</v>
      </c>
      <c r="E16" s="45">
        <f>4547441.6-4547441.6</f>
        <v>0</v>
      </c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50"/>
      <c r="U16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  <c r="BR16" s="191"/>
    </row>
    <row r="17" spans="1:70" s="42" customFormat="1" x14ac:dyDescent="0.25">
      <c r="A17" s="192"/>
      <c r="B17" s="44"/>
      <c r="C17" s="44"/>
      <c r="D17" s="44"/>
      <c r="E17" s="45">
        <f t="shared" ref="E17:T17" si="2">SUM(E18:E205)</f>
        <v>1753364156.2425888</v>
      </c>
      <c r="F17" s="45">
        <f t="shared" si="2"/>
        <v>261418719.91</v>
      </c>
      <c r="G17" s="45">
        <f t="shared" si="2"/>
        <v>92211687.10999997</v>
      </c>
      <c r="H17" s="45">
        <f t="shared" si="2"/>
        <v>91010822.590000033</v>
      </c>
      <c r="I17" s="45">
        <f t="shared" si="2"/>
        <v>100780746.21000001</v>
      </c>
      <c r="J17" s="45">
        <f t="shared" si="2"/>
        <v>20726332.382261999</v>
      </c>
      <c r="K17" s="45">
        <f t="shared" si="2"/>
        <v>0</v>
      </c>
      <c r="L17" s="45">
        <f t="shared" si="2"/>
        <v>0</v>
      </c>
      <c r="M17" s="45">
        <f t="shared" si="2"/>
        <v>28694966.41</v>
      </c>
      <c r="N17" s="45">
        <f t="shared" si="2"/>
        <v>417243389.46806598</v>
      </c>
      <c r="O17" s="45">
        <f t="shared" si="2"/>
        <v>79372152.859999985</v>
      </c>
      <c r="P17" s="45">
        <f t="shared" si="2"/>
        <v>386032575.02000004</v>
      </c>
      <c r="Q17" s="45">
        <f t="shared" si="2"/>
        <v>162824150.38999999</v>
      </c>
      <c r="R17" s="45">
        <f t="shared" si="2"/>
        <v>44622520.010968477</v>
      </c>
      <c r="S17" s="45">
        <f t="shared" si="2"/>
        <v>3686982.5281604878</v>
      </c>
      <c r="T17" s="45">
        <f t="shared" si="2"/>
        <v>64739111.35313078</v>
      </c>
      <c r="U17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1"/>
      <c r="BO17" s="191"/>
      <c r="BP17" s="191"/>
      <c r="BQ17" s="191"/>
      <c r="BR17" s="191"/>
    </row>
    <row r="18" spans="1:70" x14ac:dyDescent="0.25">
      <c r="A18" s="193">
        <v>1</v>
      </c>
      <c r="B18" s="107">
        <v>1</v>
      </c>
      <c r="C18" s="53" t="s">
        <v>62</v>
      </c>
      <c r="D18" s="53" t="s">
        <v>63</v>
      </c>
      <c r="E18" s="62">
        <f t="shared" ref="E18:E49" si="3">SUBTOTAL(9, F18:T18)</f>
        <v>35883420.902660385</v>
      </c>
      <c r="F18" s="55">
        <v>11937105.199999999</v>
      </c>
      <c r="G18" s="55">
        <v>7031659.7400000002</v>
      </c>
      <c r="H18" s="55"/>
      <c r="I18" s="55">
        <v>2917316.85</v>
      </c>
      <c r="J18" s="55">
        <v>0</v>
      </c>
      <c r="K18" s="55"/>
      <c r="L18" s="55"/>
      <c r="M18" s="55">
        <v>0</v>
      </c>
      <c r="N18" s="55">
        <v>4693934.4000000004</v>
      </c>
      <c r="O18" s="55">
        <v>8467593.2400000002</v>
      </c>
      <c r="P18" s="55">
        <v>0</v>
      </c>
      <c r="Q18" s="55">
        <v>0</v>
      </c>
      <c r="R18" s="55"/>
      <c r="S18" s="63"/>
      <c r="T18" s="64">
        <v>835811.47266038705</v>
      </c>
      <c r="U18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</row>
    <row r="19" spans="1:70" x14ac:dyDescent="0.25">
      <c r="A19" s="193">
        <f t="shared" ref="A19:A50" si="4">+A18+1</f>
        <v>2</v>
      </c>
      <c r="B19" s="107">
        <f t="shared" ref="B19:B50" si="5">+B18+1</f>
        <v>2</v>
      </c>
      <c r="C19" s="53" t="s">
        <v>62</v>
      </c>
      <c r="D19" s="53" t="s">
        <v>65</v>
      </c>
      <c r="E19" s="62">
        <f t="shared" si="3"/>
        <v>34138401.5</v>
      </c>
      <c r="F19" s="55">
        <v>10136488.119999999</v>
      </c>
      <c r="G19" s="55">
        <v>6838744.3399999999</v>
      </c>
      <c r="H19" s="55"/>
      <c r="I19" s="55">
        <v>2920060.1</v>
      </c>
      <c r="J19" s="55">
        <v>0</v>
      </c>
      <c r="K19" s="55"/>
      <c r="L19" s="55"/>
      <c r="M19" s="55">
        <v>0</v>
      </c>
      <c r="N19" s="55">
        <v>4839492</v>
      </c>
      <c r="O19" s="55">
        <v>8471863.8000000007</v>
      </c>
      <c r="P19" s="55">
        <v>0</v>
      </c>
      <c r="Q19" s="55">
        <v>0</v>
      </c>
      <c r="R19" s="55"/>
      <c r="S19" s="63"/>
      <c r="T19" s="64">
        <v>931753.14</v>
      </c>
      <c r="U19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</row>
    <row r="20" spans="1:70" x14ac:dyDescent="0.25">
      <c r="A20" s="193">
        <f t="shared" si="4"/>
        <v>3</v>
      </c>
      <c r="B20" s="107">
        <f t="shared" si="5"/>
        <v>3</v>
      </c>
      <c r="C20" s="53" t="s">
        <v>62</v>
      </c>
      <c r="D20" s="53" t="s">
        <v>66</v>
      </c>
      <c r="E20" s="62">
        <f t="shared" si="3"/>
        <v>21804481.706755415</v>
      </c>
      <c r="F20" s="55">
        <v>8693551.2400000002</v>
      </c>
      <c r="G20" s="55">
        <v>2539728.9700000002</v>
      </c>
      <c r="H20" s="55"/>
      <c r="I20" s="55">
        <v>1744090.12</v>
      </c>
      <c r="J20" s="55">
        <v>0</v>
      </c>
      <c r="K20" s="55"/>
      <c r="L20" s="55"/>
      <c r="M20" s="55">
        <v>0</v>
      </c>
      <c r="N20" s="55">
        <v>2720365.2</v>
      </c>
      <c r="O20" s="55">
        <v>5773109.29</v>
      </c>
      <c r="P20" s="55">
        <v>0</v>
      </c>
      <c r="Q20" s="55">
        <v>0</v>
      </c>
      <c r="R20" s="55"/>
      <c r="S20" s="63"/>
      <c r="T20" s="64">
        <v>333636.88675541501</v>
      </c>
      <c r="U20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</row>
    <row r="21" spans="1:70" x14ac:dyDescent="0.25">
      <c r="A21" s="193">
        <f t="shared" si="4"/>
        <v>4</v>
      </c>
      <c r="B21" s="107">
        <f t="shared" si="5"/>
        <v>4</v>
      </c>
      <c r="C21" s="53" t="s">
        <v>67</v>
      </c>
      <c r="D21" s="53" t="s">
        <v>68</v>
      </c>
      <c r="E21" s="62">
        <f t="shared" si="3"/>
        <v>6683521.8589600008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/>
      <c r="L21" s="55"/>
      <c r="M21" s="55">
        <v>0</v>
      </c>
      <c r="N21" s="55">
        <v>6340797.9400000004</v>
      </c>
      <c r="O21" s="55">
        <v>0</v>
      </c>
      <c r="P21" s="55">
        <v>0</v>
      </c>
      <c r="Q21" s="55">
        <v>0</v>
      </c>
      <c r="R21" s="55"/>
      <c r="S21" s="63"/>
      <c r="T21" s="64">
        <v>342723.91895999998</v>
      </c>
      <c r="U21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</row>
    <row r="22" spans="1:70" x14ac:dyDescent="0.25">
      <c r="A22" s="193">
        <f t="shared" si="4"/>
        <v>5</v>
      </c>
      <c r="B22" s="107">
        <f t="shared" si="5"/>
        <v>5</v>
      </c>
      <c r="C22" s="53" t="s">
        <v>67</v>
      </c>
      <c r="D22" s="53" t="s">
        <v>69</v>
      </c>
      <c r="E22" s="62">
        <f t="shared" si="3"/>
        <v>1380495.8153303179</v>
      </c>
      <c r="F22" s="55">
        <v>1272491.3999999999</v>
      </c>
      <c r="G22" s="55">
        <v>0</v>
      </c>
      <c r="H22" s="55">
        <v>0</v>
      </c>
      <c r="I22" s="55">
        <v>0</v>
      </c>
      <c r="J22" s="55">
        <v>0</v>
      </c>
      <c r="K22" s="55"/>
      <c r="L22" s="55"/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/>
      <c r="S22" s="63"/>
      <c r="T22" s="64">
        <v>108004.41533031801</v>
      </c>
      <c r="U2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</row>
    <row r="23" spans="1:70" x14ac:dyDescent="0.25">
      <c r="A23" s="193">
        <f t="shared" si="4"/>
        <v>6</v>
      </c>
      <c r="B23" s="107">
        <f t="shared" si="5"/>
        <v>6</v>
      </c>
      <c r="C23" s="53" t="s">
        <v>67</v>
      </c>
      <c r="D23" s="53" t="s">
        <v>70</v>
      </c>
      <c r="E23" s="62">
        <f t="shared" si="3"/>
        <v>2472986.52</v>
      </c>
      <c r="F23" s="55">
        <v>2428165.69</v>
      </c>
      <c r="G23" s="55">
        <v>0</v>
      </c>
      <c r="H23" s="55">
        <v>0</v>
      </c>
      <c r="I23" s="55">
        <v>0</v>
      </c>
      <c r="J23" s="55">
        <v>0</v>
      </c>
      <c r="K23" s="55"/>
      <c r="L23" s="55"/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/>
      <c r="S23" s="63"/>
      <c r="T23" s="64">
        <v>44820.83</v>
      </c>
      <c r="U23" s="194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</row>
    <row r="24" spans="1:70" x14ac:dyDescent="0.25">
      <c r="A24" s="193">
        <f t="shared" si="4"/>
        <v>7</v>
      </c>
      <c r="B24" s="107">
        <f t="shared" si="5"/>
        <v>7</v>
      </c>
      <c r="C24" s="53" t="s">
        <v>71</v>
      </c>
      <c r="D24" s="53" t="s">
        <v>72</v>
      </c>
      <c r="E24" s="62">
        <f t="shared" si="3"/>
        <v>113078.26467698807</v>
      </c>
      <c r="F24" s="55">
        <v>0</v>
      </c>
      <c r="G24" s="55">
        <v>0</v>
      </c>
      <c r="H24" s="55"/>
      <c r="I24" s="55">
        <v>104364.26</v>
      </c>
      <c r="J24" s="55">
        <v>0</v>
      </c>
      <c r="K24" s="55"/>
      <c r="L24" s="55"/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/>
      <c r="S24" s="63"/>
      <c r="T24" s="64">
        <v>8714.0046769880792</v>
      </c>
      <c r="U24" s="73"/>
    </row>
    <row r="25" spans="1:70" x14ac:dyDescent="0.25">
      <c r="A25" s="193">
        <f t="shared" si="4"/>
        <v>8</v>
      </c>
      <c r="B25" s="107">
        <f t="shared" si="5"/>
        <v>8</v>
      </c>
      <c r="C25" s="53" t="s">
        <v>71</v>
      </c>
      <c r="D25" s="53" t="s">
        <v>73</v>
      </c>
      <c r="E25" s="62">
        <f t="shared" si="3"/>
        <v>5366313.5354361599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/>
      <c r="L25" s="55"/>
      <c r="M25" s="55">
        <v>0</v>
      </c>
      <c r="N25" s="55">
        <v>0</v>
      </c>
      <c r="O25" s="55">
        <v>5195773.5</v>
      </c>
      <c r="P25" s="55"/>
      <c r="Q25" s="55"/>
      <c r="R25" s="55"/>
      <c r="S25" s="63"/>
      <c r="T25" s="64">
        <v>170540.03543615999</v>
      </c>
      <c r="U25" s="73"/>
    </row>
    <row r="26" spans="1:70" x14ac:dyDescent="0.25">
      <c r="A26" s="193">
        <f t="shared" si="4"/>
        <v>9</v>
      </c>
      <c r="B26" s="107">
        <f t="shared" si="5"/>
        <v>9</v>
      </c>
      <c r="C26" s="53" t="s">
        <v>71</v>
      </c>
      <c r="D26" s="53" t="s">
        <v>74</v>
      </c>
      <c r="E26" s="62">
        <f t="shared" si="3"/>
        <v>3697130.3492353396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/>
      <c r="L26" s="55"/>
      <c r="M26" s="55">
        <v>0</v>
      </c>
      <c r="N26" s="55">
        <v>0</v>
      </c>
      <c r="O26" s="55">
        <v>2388753.41</v>
      </c>
      <c r="P26" s="55"/>
      <c r="Q26" s="55">
        <v>815005.58</v>
      </c>
      <c r="R26" s="55">
        <v>392917.04065692797</v>
      </c>
      <c r="S26" s="63">
        <v>18562.626065692799</v>
      </c>
      <c r="T26" s="64">
        <v>81891.692512718495</v>
      </c>
      <c r="U26" s="73"/>
    </row>
    <row r="27" spans="1:70" x14ac:dyDescent="0.25">
      <c r="A27" s="193">
        <f t="shared" si="4"/>
        <v>10</v>
      </c>
      <c r="B27" s="107">
        <f t="shared" si="5"/>
        <v>10</v>
      </c>
      <c r="C27" s="53" t="s">
        <v>75</v>
      </c>
      <c r="D27" s="53" t="s">
        <v>76</v>
      </c>
      <c r="E27" s="62">
        <f t="shared" si="3"/>
        <v>3712081.5291589969</v>
      </c>
      <c r="F27" s="55"/>
      <c r="G27" s="55"/>
      <c r="H27" s="55">
        <v>878254.94</v>
      </c>
      <c r="I27" s="55"/>
      <c r="J27" s="55">
        <v>0</v>
      </c>
      <c r="K27" s="55"/>
      <c r="L27" s="55"/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f>2191683.42279663-27761</f>
        <v>2163922.4227966298</v>
      </c>
      <c r="S27" s="63">
        <v>229848.711476372</v>
      </c>
      <c r="T27" s="64">
        <v>440055.45488599502</v>
      </c>
      <c r="U27" s="73"/>
    </row>
    <row r="28" spans="1:70" x14ac:dyDescent="0.25">
      <c r="A28" s="193">
        <f t="shared" si="4"/>
        <v>11</v>
      </c>
      <c r="B28" s="107">
        <f t="shared" si="5"/>
        <v>11</v>
      </c>
      <c r="C28" s="53" t="s">
        <v>75</v>
      </c>
      <c r="D28" s="53" t="s">
        <v>77</v>
      </c>
      <c r="E28" s="62">
        <f t="shared" si="3"/>
        <v>6156349.6058218479</v>
      </c>
      <c r="F28" s="55">
        <v>2699032.56</v>
      </c>
      <c r="G28" s="55">
        <v>2261633.31</v>
      </c>
      <c r="H28" s="55"/>
      <c r="I28" s="55">
        <v>818058.15</v>
      </c>
      <c r="J28" s="55">
        <v>0</v>
      </c>
      <c r="K28" s="55"/>
      <c r="L28" s="55"/>
      <c r="M28" s="55">
        <v>0</v>
      </c>
      <c r="N28" s="55"/>
      <c r="O28" s="55">
        <v>0</v>
      </c>
      <c r="P28" s="55">
        <v>0</v>
      </c>
      <c r="Q28" s="55">
        <v>0</v>
      </c>
      <c r="R28" s="55"/>
      <c r="S28" s="63"/>
      <c r="T28" s="64">
        <v>377625.58582184702</v>
      </c>
      <c r="U28" s="73"/>
    </row>
    <row r="29" spans="1:70" x14ac:dyDescent="0.25">
      <c r="A29" s="193">
        <f t="shared" si="4"/>
        <v>12</v>
      </c>
      <c r="B29" s="107">
        <f t="shared" si="5"/>
        <v>12</v>
      </c>
      <c r="C29" s="53" t="s">
        <v>75</v>
      </c>
      <c r="D29" s="53" t="s">
        <v>79</v>
      </c>
      <c r="E29" s="62">
        <f t="shared" si="3"/>
        <v>13036215.770000001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/>
      <c r="L29" s="55"/>
      <c r="M29" s="55">
        <v>0</v>
      </c>
      <c r="N29" s="67">
        <v>2807713.83</v>
      </c>
      <c r="O29" s="67">
        <v>0</v>
      </c>
      <c r="P29" s="67">
        <v>9577950</v>
      </c>
      <c r="Q29" s="67">
        <v>0</v>
      </c>
      <c r="R29" s="67">
        <v>377498.73</v>
      </c>
      <c r="S29" s="66">
        <v>8000</v>
      </c>
      <c r="T29" s="68">
        <v>265053.21000000002</v>
      </c>
      <c r="U29" s="73"/>
    </row>
    <row r="30" spans="1:70" x14ac:dyDescent="0.25">
      <c r="A30" s="193">
        <f t="shared" si="4"/>
        <v>13</v>
      </c>
      <c r="B30" s="107">
        <f t="shared" si="5"/>
        <v>13</v>
      </c>
      <c r="C30" s="53" t="s">
        <v>75</v>
      </c>
      <c r="D30" s="53" t="s">
        <v>80</v>
      </c>
      <c r="E30" s="62">
        <f t="shared" si="3"/>
        <v>947792.52460360434</v>
      </c>
      <c r="F30" s="55"/>
      <c r="G30" s="55"/>
      <c r="H30" s="55"/>
      <c r="I30" s="55">
        <v>856822.68</v>
      </c>
      <c r="J30" s="55">
        <v>0</v>
      </c>
      <c r="K30" s="55"/>
      <c r="L30" s="55"/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/>
      <c r="S30" s="63"/>
      <c r="T30" s="64">
        <v>90969.844603604302</v>
      </c>
      <c r="U30" s="73"/>
    </row>
    <row r="31" spans="1:70" x14ac:dyDescent="0.25">
      <c r="A31" s="193">
        <f t="shared" si="4"/>
        <v>14</v>
      </c>
      <c r="B31" s="107">
        <f t="shared" si="5"/>
        <v>14</v>
      </c>
      <c r="C31" s="53" t="s">
        <v>75</v>
      </c>
      <c r="D31" s="53" t="s">
        <v>81</v>
      </c>
      <c r="E31" s="62">
        <f t="shared" si="3"/>
        <v>3204810.5757265966</v>
      </c>
      <c r="F31" s="55"/>
      <c r="G31" s="55">
        <v>1900545.16</v>
      </c>
      <c r="H31" s="55"/>
      <c r="I31" s="55">
        <v>1184190.3999999999</v>
      </c>
      <c r="J31" s="55">
        <v>0</v>
      </c>
      <c r="K31" s="55"/>
      <c r="L31" s="55"/>
      <c r="M31" s="55">
        <v>0</v>
      </c>
      <c r="N31" s="55">
        <v>0</v>
      </c>
      <c r="O31" s="55"/>
      <c r="P31" s="55">
        <v>0</v>
      </c>
      <c r="Q31" s="55">
        <v>0</v>
      </c>
      <c r="R31" s="55"/>
      <c r="S31" s="63"/>
      <c r="T31" s="64">
        <v>120075.015726597</v>
      </c>
      <c r="U31" s="73"/>
    </row>
    <row r="32" spans="1:70" x14ac:dyDescent="0.25">
      <c r="A32" s="193">
        <f t="shared" si="4"/>
        <v>15</v>
      </c>
      <c r="B32" s="107">
        <f t="shared" si="5"/>
        <v>15</v>
      </c>
      <c r="C32" s="53" t="s">
        <v>75</v>
      </c>
      <c r="D32" s="53" t="s">
        <v>82</v>
      </c>
      <c r="E32" s="62">
        <f t="shared" si="3"/>
        <v>7091508.1283725407</v>
      </c>
      <c r="F32" s="55">
        <v>2005222.15</v>
      </c>
      <c r="G32" s="55"/>
      <c r="H32" s="55">
        <v>0</v>
      </c>
      <c r="I32" s="55"/>
      <c r="J32" s="55">
        <v>0</v>
      </c>
      <c r="K32" s="55"/>
      <c r="L32" s="55"/>
      <c r="M32" s="55">
        <v>0</v>
      </c>
      <c r="N32" s="55">
        <v>0</v>
      </c>
      <c r="O32" s="55">
        <v>4791041.3099999996</v>
      </c>
      <c r="P32" s="55"/>
      <c r="Q32" s="55">
        <v>0</v>
      </c>
      <c r="R32" s="55"/>
      <c r="S32" s="63"/>
      <c r="T32" s="64">
        <v>295244.66837254202</v>
      </c>
      <c r="U32" s="73"/>
    </row>
    <row r="33" spans="1:21" x14ac:dyDescent="0.25">
      <c r="A33" s="193">
        <f t="shared" si="4"/>
        <v>16</v>
      </c>
      <c r="B33" s="107">
        <f t="shared" si="5"/>
        <v>16</v>
      </c>
      <c r="C33" s="53" t="s">
        <v>78</v>
      </c>
      <c r="D33" s="53" t="s">
        <v>83</v>
      </c>
      <c r="E33" s="62">
        <f t="shared" si="3"/>
        <v>50879011.910000004</v>
      </c>
      <c r="F33" s="55">
        <v>0</v>
      </c>
      <c r="G33" s="55">
        <v>0</v>
      </c>
      <c r="H33" s="55">
        <v>0</v>
      </c>
      <c r="I33" s="67">
        <v>6678313.5999999996</v>
      </c>
      <c r="J33" s="67">
        <v>0</v>
      </c>
      <c r="K33" s="67"/>
      <c r="L33" s="67"/>
      <c r="M33" s="67">
        <v>0</v>
      </c>
      <c r="N33" s="67">
        <v>25055410.800000001</v>
      </c>
      <c r="O33" s="67">
        <v>16117459.310000001</v>
      </c>
      <c r="P33" s="67">
        <v>0</v>
      </c>
      <c r="Q33" s="67">
        <v>0</v>
      </c>
      <c r="R33" s="67">
        <v>1734020.86</v>
      </c>
      <c r="S33" s="66">
        <v>10000</v>
      </c>
      <c r="T33" s="68">
        <v>1283807.3400000001</v>
      </c>
      <c r="U33" s="73"/>
    </row>
    <row r="34" spans="1:21" x14ac:dyDescent="0.25">
      <c r="A34" s="193">
        <f t="shared" si="4"/>
        <v>17</v>
      </c>
      <c r="B34" s="107">
        <f t="shared" si="5"/>
        <v>17</v>
      </c>
      <c r="C34" s="53" t="s">
        <v>75</v>
      </c>
      <c r="D34" s="53" t="s">
        <v>84</v>
      </c>
      <c r="E34" s="62">
        <f t="shared" si="3"/>
        <v>10558217.996456141</v>
      </c>
      <c r="F34" s="55"/>
      <c r="G34" s="55">
        <v>4716823.2</v>
      </c>
      <c r="H34" s="55"/>
      <c r="I34" s="55">
        <v>0</v>
      </c>
      <c r="J34" s="55">
        <v>0</v>
      </c>
      <c r="K34" s="55"/>
      <c r="L34" s="55"/>
      <c r="M34" s="55">
        <v>0</v>
      </c>
      <c r="N34" s="55">
        <v>5310079.2</v>
      </c>
      <c r="O34" s="55">
        <v>0</v>
      </c>
      <c r="P34" s="55">
        <v>0</v>
      </c>
      <c r="Q34" s="55">
        <v>0</v>
      </c>
      <c r="R34" s="55"/>
      <c r="S34" s="63"/>
      <c r="T34" s="64">
        <v>531315.59645614005</v>
      </c>
      <c r="U34" s="73"/>
    </row>
    <row r="35" spans="1:21" x14ac:dyDescent="0.25">
      <c r="A35" s="193">
        <f t="shared" si="4"/>
        <v>18</v>
      </c>
      <c r="B35" s="107">
        <f t="shared" si="5"/>
        <v>18</v>
      </c>
      <c r="C35" s="53" t="s">
        <v>75</v>
      </c>
      <c r="D35" s="53" t="s">
        <v>85</v>
      </c>
      <c r="E35" s="62">
        <f t="shared" si="3"/>
        <v>11881010.632439215</v>
      </c>
      <c r="F35" s="55"/>
      <c r="G35" s="55">
        <v>4815586.08</v>
      </c>
      <c r="H35" s="55"/>
      <c r="I35" s="55">
        <v>2345570.7400000002</v>
      </c>
      <c r="J35" s="55">
        <v>0</v>
      </c>
      <c r="K35" s="55"/>
      <c r="L35" s="55"/>
      <c r="M35" s="55">
        <v>0</v>
      </c>
      <c r="N35" s="55">
        <v>0</v>
      </c>
      <c r="O35" s="55">
        <v>4165102.07</v>
      </c>
      <c r="P35" s="55">
        <v>0</v>
      </c>
      <c r="Q35" s="55">
        <v>0</v>
      </c>
      <c r="R35" s="55"/>
      <c r="S35" s="63"/>
      <c r="T35" s="64">
        <v>554751.74243921496</v>
      </c>
      <c r="U35" s="73"/>
    </row>
    <row r="36" spans="1:21" x14ac:dyDescent="0.25">
      <c r="A36" s="193">
        <f t="shared" si="4"/>
        <v>19</v>
      </c>
      <c r="B36" s="107">
        <f t="shared" si="5"/>
        <v>19</v>
      </c>
      <c r="C36" s="53" t="s">
        <v>75</v>
      </c>
      <c r="D36" s="53" t="s">
        <v>86</v>
      </c>
      <c r="E36" s="62">
        <f t="shared" si="3"/>
        <v>13275635.754342193</v>
      </c>
      <c r="F36" s="55">
        <v>5601164.7400000002</v>
      </c>
      <c r="G36" s="55">
        <v>4132221.15</v>
      </c>
      <c r="H36" s="55"/>
      <c r="I36" s="55">
        <v>2594387.63</v>
      </c>
      <c r="J36" s="55">
        <v>0</v>
      </c>
      <c r="K36" s="55"/>
      <c r="L36" s="55"/>
      <c r="M36" s="55">
        <v>0</v>
      </c>
      <c r="N36" s="55">
        <v>0</v>
      </c>
      <c r="O36" s="55"/>
      <c r="P36" s="55">
        <v>0</v>
      </c>
      <c r="Q36" s="55">
        <v>0</v>
      </c>
      <c r="R36" s="55"/>
      <c r="S36" s="63"/>
      <c r="T36" s="64">
        <v>947862.23434219405</v>
      </c>
      <c r="U36" s="73"/>
    </row>
    <row r="37" spans="1:21" x14ac:dyDescent="0.25">
      <c r="A37" s="193">
        <f t="shared" si="4"/>
        <v>20</v>
      </c>
      <c r="B37" s="107">
        <f t="shared" si="5"/>
        <v>20</v>
      </c>
      <c r="C37" s="53" t="s">
        <v>75</v>
      </c>
      <c r="D37" s="53" t="s">
        <v>87</v>
      </c>
      <c r="E37" s="62">
        <f t="shared" si="3"/>
        <v>5240799.8242184622</v>
      </c>
      <c r="F37" s="55"/>
      <c r="G37" s="55">
        <v>1792691.85</v>
      </c>
      <c r="H37" s="55"/>
      <c r="I37" s="55">
        <v>1124322.94</v>
      </c>
      <c r="J37" s="55">
        <v>0</v>
      </c>
      <c r="K37" s="55"/>
      <c r="L37" s="55"/>
      <c r="M37" s="55">
        <v>0</v>
      </c>
      <c r="N37" s="55">
        <v>0</v>
      </c>
      <c r="O37" s="55">
        <v>1790598.95</v>
      </c>
      <c r="P37" s="55">
        <v>0</v>
      </c>
      <c r="Q37" s="55">
        <v>0</v>
      </c>
      <c r="R37" s="55"/>
      <c r="S37" s="63"/>
      <c r="T37" s="64">
        <v>533186.084218462</v>
      </c>
      <c r="U37" s="73"/>
    </row>
    <row r="38" spans="1:21" x14ac:dyDescent="0.25">
      <c r="A38" s="193">
        <f t="shared" si="4"/>
        <v>21</v>
      </c>
      <c r="B38" s="107">
        <f t="shared" si="5"/>
        <v>21</v>
      </c>
      <c r="C38" s="53" t="s">
        <v>75</v>
      </c>
      <c r="D38" s="53" t="s">
        <v>88</v>
      </c>
      <c r="E38" s="62">
        <f t="shared" si="3"/>
        <v>1578467.25</v>
      </c>
      <c r="F38" s="55"/>
      <c r="G38" s="55">
        <v>991956.22</v>
      </c>
      <c r="H38" s="55"/>
      <c r="I38" s="55">
        <v>513354.67</v>
      </c>
      <c r="J38" s="55">
        <v>0</v>
      </c>
      <c r="K38" s="55"/>
      <c r="L38" s="55"/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/>
      <c r="S38" s="63"/>
      <c r="T38" s="64">
        <v>73156.36</v>
      </c>
      <c r="U38" s="73"/>
    </row>
    <row r="39" spans="1:21" x14ac:dyDescent="0.25">
      <c r="A39" s="193">
        <f t="shared" si="4"/>
        <v>22</v>
      </c>
      <c r="B39" s="107">
        <f t="shared" si="5"/>
        <v>22</v>
      </c>
      <c r="C39" s="53" t="s">
        <v>75</v>
      </c>
      <c r="D39" s="53" t="s">
        <v>89</v>
      </c>
      <c r="E39" s="62">
        <f t="shared" si="3"/>
        <v>6565896.2326294025</v>
      </c>
      <c r="F39" s="55">
        <v>2562057.4900000002</v>
      </c>
      <c r="G39" s="55">
        <v>1395411.2</v>
      </c>
      <c r="H39" s="55"/>
      <c r="I39" s="55">
        <v>767119.01</v>
      </c>
      <c r="J39" s="55">
        <v>0</v>
      </c>
      <c r="K39" s="55"/>
      <c r="L39" s="55"/>
      <c r="M39" s="55">
        <v>0</v>
      </c>
      <c r="N39" s="55">
        <v>0</v>
      </c>
      <c r="O39" s="55">
        <v>1469553.35</v>
      </c>
      <c r="P39" s="55">
        <v>0</v>
      </c>
      <c r="Q39" s="55">
        <v>0</v>
      </c>
      <c r="R39" s="55"/>
      <c r="S39" s="63"/>
      <c r="T39" s="64">
        <v>371755.18262940203</v>
      </c>
      <c r="U39" s="73"/>
    </row>
    <row r="40" spans="1:21" x14ac:dyDescent="0.25">
      <c r="A40" s="193">
        <f t="shared" si="4"/>
        <v>23</v>
      </c>
      <c r="B40" s="107">
        <f t="shared" si="5"/>
        <v>23</v>
      </c>
      <c r="C40" s="53" t="s">
        <v>75</v>
      </c>
      <c r="D40" s="53" t="s">
        <v>90</v>
      </c>
      <c r="E40" s="62">
        <f t="shared" si="3"/>
        <v>2473466.5978491479</v>
      </c>
      <c r="F40" s="55">
        <v>2223790.75</v>
      </c>
      <c r="G40" s="55"/>
      <c r="H40" s="55"/>
      <c r="I40" s="55"/>
      <c r="J40" s="55">
        <v>0</v>
      </c>
      <c r="K40" s="55"/>
      <c r="L40" s="55"/>
      <c r="M40" s="55">
        <v>0</v>
      </c>
      <c r="N40" s="55">
        <v>0</v>
      </c>
      <c r="O40" s="55"/>
      <c r="P40" s="55">
        <v>0</v>
      </c>
      <c r="Q40" s="55">
        <v>0</v>
      </c>
      <c r="R40" s="55"/>
      <c r="S40" s="63"/>
      <c r="T40" s="64">
        <v>249675.84784914801</v>
      </c>
      <c r="U40" s="73"/>
    </row>
    <row r="41" spans="1:21" x14ac:dyDescent="0.25">
      <c r="A41" s="193">
        <f t="shared" si="4"/>
        <v>24</v>
      </c>
      <c r="B41" s="107">
        <f t="shared" si="5"/>
        <v>24</v>
      </c>
      <c r="C41" s="53" t="s">
        <v>78</v>
      </c>
      <c r="D41" s="53" t="s">
        <v>91</v>
      </c>
      <c r="E41" s="62">
        <f t="shared" si="3"/>
        <v>3289538.05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/>
      <c r="L41" s="55"/>
      <c r="M41" s="55">
        <v>0</v>
      </c>
      <c r="N41" s="67">
        <v>2913300.81</v>
      </c>
      <c r="O41" s="67">
        <v>0</v>
      </c>
      <c r="P41" s="67">
        <v>0</v>
      </c>
      <c r="Q41" s="67">
        <v>0</v>
      </c>
      <c r="R41" s="67">
        <v>297498.73</v>
      </c>
      <c r="S41" s="66">
        <v>8000</v>
      </c>
      <c r="T41" s="68">
        <v>70738.509999999995</v>
      </c>
      <c r="U41" s="73"/>
    </row>
    <row r="42" spans="1:21" x14ac:dyDescent="0.25">
      <c r="A42" s="193">
        <f t="shared" si="4"/>
        <v>25</v>
      </c>
      <c r="B42" s="107">
        <f t="shared" si="5"/>
        <v>25</v>
      </c>
      <c r="C42" s="53" t="s">
        <v>75</v>
      </c>
      <c r="D42" s="53" t="s">
        <v>92</v>
      </c>
      <c r="E42" s="62">
        <f t="shared" si="3"/>
        <v>3078216.5789347347</v>
      </c>
      <c r="F42" s="55"/>
      <c r="G42" s="55">
        <v>2540840.59</v>
      </c>
      <c r="H42" s="55">
        <v>0</v>
      </c>
      <c r="J42" s="55">
        <v>0</v>
      </c>
      <c r="K42" s="55"/>
      <c r="L42" s="55"/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/>
      <c r="S42" s="63"/>
      <c r="T42" s="64">
        <v>537375.98893473495</v>
      </c>
      <c r="U42" s="73"/>
    </row>
    <row r="43" spans="1:21" x14ac:dyDescent="0.25">
      <c r="A43" s="193">
        <f t="shared" si="4"/>
        <v>26</v>
      </c>
      <c r="B43" s="107">
        <f t="shared" si="5"/>
        <v>26</v>
      </c>
      <c r="C43" s="53" t="s">
        <v>78</v>
      </c>
      <c r="D43" s="53" t="s">
        <v>93</v>
      </c>
      <c r="E43" s="62">
        <f t="shared" si="3"/>
        <v>3685808.05</v>
      </c>
      <c r="F43" s="67">
        <v>2951330.4</v>
      </c>
      <c r="G43" s="67">
        <v>0</v>
      </c>
      <c r="H43" s="67">
        <v>0</v>
      </c>
      <c r="I43" s="67">
        <v>0</v>
      </c>
      <c r="J43" s="67">
        <v>0</v>
      </c>
      <c r="K43" s="67"/>
      <c r="L43" s="67"/>
      <c r="M43" s="67">
        <v>0</v>
      </c>
      <c r="N43" s="67">
        <v>0</v>
      </c>
      <c r="O43" s="67"/>
      <c r="P43" s="67">
        <v>0</v>
      </c>
      <c r="Q43" s="67">
        <v>0</v>
      </c>
      <c r="R43" s="67">
        <v>582619.32999999996</v>
      </c>
      <c r="S43" s="66">
        <v>24000</v>
      </c>
      <c r="T43" s="68">
        <v>127858.32</v>
      </c>
      <c r="U43" s="73"/>
    </row>
    <row r="44" spans="1:21" x14ac:dyDescent="0.25">
      <c r="A44" s="193">
        <f t="shared" si="4"/>
        <v>27</v>
      </c>
      <c r="B44" s="107">
        <f t="shared" si="5"/>
        <v>27</v>
      </c>
      <c r="C44" s="53" t="s">
        <v>75</v>
      </c>
      <c r="D44" s="53" t="s">
        <v>94</v>
      </c>
      <c r="E44" s="62">
        <f t="shared" si="3"/>
        <v>9041524.1470446158</v>
      </c>
      <c r="F44" s="55">
        <v>3433452.29</v>
      </c>
      <c r="G44" s="55">
        <v>2760585.92</v>
      </c>
      <c r="H44" s="55">
        <v>0</v>
      </c>
      <c r="I44" s="55">
        <v>2310726.81</v>
      </c>
      <c r="J44" s="55">
        <v>0</v>
      </c>
      <c r="K44" s="55"/>
      <c r="L44" s="55"/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/>
      <c r="S44" s="63"/>
      <c r="T44" s="64">
        <v>536759.12704461697</v>
      </c>
      <c r="U44" s="73"/>
    </row>
    <row r="45" spans="1:21" x14ac:dyDescent="0.25">
      <c r="A45" s="193">
        <f t="shared" si="4"/>
        <v>28</v>
      </c>
      <c r="B45" s="107">
        <f t="shared" si="5"/>
        <v>28</v>
      </c>
      <c r="C45" s="53" t="s">
        <v>75</v>
      </c>
      <c r="D45" s="53" t="s">
        <v>95</v>
      </c>
      <c r="E45" s="62">
        <f t="shared" si="3"/>
        <v>5302435.6314287242</v>
      </c>
      <c r="F45" s="55"/>
      <c r="G45" s="55">
        <v>0</v>
      </c>
      <c r="H45" s="55">
        <v>0</v>
      </c>
      <c r="I45" s="55"/>
      <c r="J45" s="55">
        <v>0</v>
      </c>
      <c r="K45" s="55"/>
      <c r="L45" s="55"/>
      <c r="M45" s="55">
        <v>0</v>
      </c>
      <c r="N45" s="55">
        <v>0</v>
      </c>
      <c r="O45" s="55">
        <v>5115227.17</v>
      </c>
      <c r="P45" s="55">
        <v>0</v>
      </c>
      <c r="Q45" s="55">
        <v>0</v>
      </c>
      <c r="R45" s="55"/>
      <c r="S45" s="63"/>
      <c r="T45" s="64">
        <v>187208.461428724</v>
      </c>
      <c r="U45" s="73"/>
    </row>
    <row r="46" spans="1:21" x14ac:dyDescent="0.25">
      <c r="A46" s="193">
        <f t="shared" si="4"/>
        <v>29</v>
      </c>
      <c r="B46" s="107">
        <f t="shared" si="5"/>
        <v>29</v>
      </c>
      <c r="C46" s="53" t="s">
        <v>75</v>
      </c>
      <c r="D46" s="53" t="s">
        <v>96</v>
      </c>
      <c r="E46" s="62">
        <f t="shared" si="3"/>
        <v>4475493.9860630399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/>
      <c r="L46" s="55"/>
      <c r="M46" s="55">
        <v>0</v>
      </c>
      <c r="N46" s="55">
        <v>0</v>
      </c>
      <c r="O46" s="55">
        <v>4339069.3499999996</v>
      </c>
      <c r="P46" s="55">
        <v>0</v>
      </c>
      <c r="Q46" s="55">
        <v>0</v>
      </c>
      <c r="R46" s="55"/>
      <c r="S46" s="63"/>
      <c r="T46" s="64">
        <v>136424.63606304</v>
      </c>
      <c r="U46" s="73"/>
    </row>
    <row r="47" spans="1:21" x14ac:dyDescent="0.25">
      <c r="A47" s="193">
        <f t="shared" si="4"/>
        <v>30</v>
      </c>
      <c r="B47" s="107">
        <f t="shared" si="5"/>
        <v>30</v>
      </c>
      <c r="C47" s="53" t="s">
        <v>75</v>
      </c>
      <c r="D47" s="53" t="s">
        <v>97</v>
      </c>
      <c r="E47" s="62">
        <f t="shared" si="3"/>
        <v>4016836.5007339842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/>
      <c r="L47" s="55"/>
      <c r="M47" s="55">
        <v>0</v>
      </c>
      <c r="N47" s="55">
        <v>0</v>
      </c>
      <c r="O47" s="55">
        <v>3882256.24</v>
      </c>
      <c r="P47" s="55">
        <v>0</v>
      </c>
      <c r="Q47" s="55">
        <v>0</v>
      </c>
      <c r="R47" s="55"/>
      <c r="S47" s="63"/>
      <c r="T47" s="64">
        <v>134580.260733984</v>
      </c>
      <c r="U47" s="73"/>
    </row>
    <row r="48" spans="1:21" x14ac:dyDescent="0.25">
      <c r="A48" s="193">
        <f t="shared" si="4"/>
        <v>31</v>
      </c>
      <c r="B48" s="107">
        <f t="shared" si="5"/>
        <v>31</v>
      </c>
      <c r="C48" s="53" t="s">
        <v>75</v>
      </c>
      <c r="D48" s="53" t="s">
        <v>98</v>
      </c>
      <c r="E48" s="62">
        <f t="shared" si="3"/>
        <v>4129287.6900192644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/>
      <c r="L48" s="55"/>
      <c r="M48" s="55">
        <v>0</v>
      </c>
      <c r="N48" s="55">
        <v>0</v>
      </c>
      <c r="O48" s="55">
        <v>3994725.91</v>
      </c>
      <c r="P48" s="55">
        <v>0</v>
      </c>
      <c r="Q48" s="55">
        <v>0</v>
      </c>
      <c r="R48" s="55"/>
      <c r="S48" s="63"/>
      <c r="T48" s="64">
        <v>134561.780019264</v>
      </c>
      <c r="U48" s="73"/>
    </row>
    <row r="49" spans="1:21" x14ac:dyDescent="0.25">
      <c r="A49" s="193">
        <f t="shared" si="4"/>
        <v>32</v>
      </c>
      <c r="B49" s="107">
        <f t="shared" si="5"/>
        <v>32</v>
      </c>
      <c r="C49" s="53" t="s">
        <v>75</v>
      </c>
      <c r="D49" s="53" t="s">
        <v>99</v>
      </c>
      <c r="E49" s="62">
        <f t="shared" si="3"/>
        <v>3549906.48971568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/>
      <c r="L49" s="55"/>
      <c r="M49" s="55">
        <v>0</v>
      </c>
      <c r="N49" s="55">
        <v>0</v>
      </c>
      <c r="O49" s="55">
        <v>3410025.96</v>
      </c>
      <c r="P49" s="55">
        <v>0</v>
      </c>
      <c r="Q49" s="55">
        <v>0</v>
      </c>
      <c r="R49" s="55"/>
      <c r="S49" s="63"/>
      <c r="T49" s="64">
        <v>139880.52971567999</v>
      </c>
      <c r="U49" s="73"/>
    </row>
    <row r="50" spans="1:21" x14ac:dyDescent="0.25">
      <c r="A50" s="193">
        <f t="shared" si="4"/>
        <v>33</v>
      </c>
      <c r="B50" s="107">
        <f t="shared" si="5"/>
        <v>33</v>
      </c>
      <c r="C50" s="53" t="s">
        <v>75</v>
      </c>
      <c r="D50" s="53" t="s">
        <v>103</v>
      </c>
      <c r="E50" s="62">
        <f t="shared" ref="E50:E81" si="6">SUBTOTAL(9, F50:T50)</f>
        <v>12323375.331853973</v>
      </c>
      <c r="F50" s="55">
        <v>5460916.2000000002</v>
      </c>
      <c r="G50" s="55"/>
      <c r="H50" s="55"/>
      <c r="I50" s="55">
        <v>2605145.33</v>
      </c>
      <c r="J50" s="55">
        <v>0</v>
      </c>
      <c r="K50" s="55"/>
      <c r="L50" s="55"/>
      <c r="M50" s="55">
        <v>0</v>
      </c>
      <c r="N50" s="55">
        <v>3676226.7</v>
      </c>
      <c r="O50" s="55">
        <v>0</v>
      </c>
      <c r="P50" s="55">
        <v>0</v>
      </c>
      <c r="Q50" s="55">
        <v>0</v>
      </c>
      <c r="R50" s="55"/>
      <c r="S50" s="63"/>
      <c r="T50" s="64">
        <v>581087.10185397195</v>
      </c>
      <c r="U50" s="73"/>
    </row>
    <row r="51" spans="1:21" x14ac:dyDescent="0.25">
      <c r="A51" s="193">
        <f t="shared" ref="A51:A82" si="7">+A50+1</f>
        <v>34</v>
      </c>
      <c r="B51" s="107">
        <f t="shared" ref="B51:B82" si="8">+B50+1</f>
        <v>34</v>
      </c>
      <c r="C51" s="53" t="s">
        <v>75</v>
      </c>
      <c r="D51" s="53" t="s">
        <v>104</v>
      </c>
      <c r="E51" s="62">
        <f t="shared" si="6"/>
        <v>26057138.58937408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/>
      <c r="L51" s="55"/>
      <c r="M51" s="55">
        <v>0</v>
      </c>
      <c r="N51" s="55"/>
      <c r="O51" s="55">
        <v>0</v>
      </c>
      <c r="P51" s="55">
        <v>24993173.34</v>
      </c>
      <c r="Q51" s="55">
        <v>0</v>
      </c>
      <c r="R51" s="55"/>
      <c r="S51" s="63"/>
      <c r="T51" s="64">
        <v>1063965.24937408</v>
      </c>
      <c r="U51" s="73"/>
    </row>
    <row r="52" spans="1:21" x14ac:dyDescent="0.25">
      <c r="A52" s="193">
        <f t="shared" si="7"/>
        <v>35</v>
      </c>
      <c r="B52" s="107">
        <f t="shared" si="8"/>
        <v>35</v>
      </c>
      <c r="C52" s="53" t="s">
        <v>75</v>
      </c>
      <c r="D52" s="53" t="s">
        <v>105</v>
      </c>
      <c r="E52" s="62">
        <f t="shared" si="6"/>
        <v>2330396.1391615802</v>
      </c>
      <c r="F52" s="55"/>
      <c r="G52" s="55">
        <v>2149155.58</v>
      </c>
      <c r="H52" s="55">
        <v>0</v>
      </c>
      <c r="I52" s="55">
        <v>0</v>
      </c>
      <c r="J52" s="55">
        <v>0</v>
      </c>
      <c r="K52" s="55"/>
      <c r="L52" s="55"/>
      <c r="M52" s="55"/>
      <c r="N52" s="55"/>
      <c r="O52" s="55"/>
      <c r="P52" s="55"/>
      <c r="Q52" s="55">
        <v>0</v>
      </c>
      <c r="R52" s="55"/>
      <c r="S52" s="63"/>
      <c r="T52" s="64">
        <v>181240.55916157999</v>
      </c>
      <c r="U52" s="73"/>
    </row>
    <row r="53" spans="1:21" x14ac:dyDescent="0.25">
      <c r="A53" s="193">
        <f t="shared" si="7"/>
        <v>36</v>
      </c>
      <c r="B53" s="107">
        <f t="shared" si="8"/>
        <v>36</v>
      </c>
      <c r="C53" s="53" t="s">
        <v>75</v>
      </c>
      <c r="D53" s="53" t="s">
        <v>106</v>
      </c>
      <c r="E53" s="62">
        <f t="shared" si="6"/>
        <v>1888185.6276605655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/>
      <c r="L53" s="55"/>
      <c r="M53" s="55">
        <v>0</v>
      </c>
      <c r="N53" s="55">
        <v>1822287.29</v>
      </c>
      <c r="O53" s="55">
        <v>0</v>
      </c>
      <c r="P53" s="55">
        <v>0</v>
      </c>
      <c r="Q53" s="55">
        <v>0</v>
      </c>
      <c r="R53" s="55"/>
      <c r="S53" s="63"/>
      <c r="T53" s="64">
        <v>65898.337660565405</v>
      </c>
      <c r="U53" s="73"/>
    </row>
    <row r="54" spans="1:21" x14ac:dyDescent="0.25">
      <c r="A54" s="193">
        <f t="shared" si="7"/>
        <v>37</v>
      </c>
      <c r="B54" s="107">
        <f t="shared" si="8"/>
        <v>37</v>
      </c>
      <c r="C54" s="53" t="s">
        <v>78</v>
      </c>
      <c r="D54" s="53" t="s">
        <v>107</v>
      </c>
      <c r="E54" s="62">
        <f t="shared" si="6"/>
        <v>22074493.369999997</v>
      </c>
      <c r="F54" s="55"/>
      <c r="G54" s="67">
        <v>6965734.7999999998</v>
      </c>
      <c r="H54" s="67">
        <v>2892341.42</v>
      </c>
      <c r="I54" s="67">
        <v>3341459.79</v>
      </c>
      <c r="J54" s="67">
        <v>0</v>
      </c>
      <c r="K54" s="67"/>
      <c r="L54" s="67"/>
      <c r="M54" s="67">
        <v>0</v>
      </c>
      <c r="N54" s="67">
        <v>7743707.0499999998</v>
      </c>
      <c r="O54" s="67">
        <v>0</v>
      </c>
      <c r="P54" s="67">
        <v>0</v>
      </c>
      <c r="Q54" s="67">
        <v>0</v>
      </c>
      <c r="R54" s="67">
        <v>732528.68</v>
      </c>
      <c r="S54" s="66">
        <v>10000</v>
      </c>
      <c r="T54" s="68">
        <v>388721.63</v>
      </c>
      <c r="U54" s="73"/>
    </row>
    <row r="55" spans="1:21" x14ac:dyDescent="0.25">
      <c r="A55" s="193">
        <f t="shared" si="7"/>
        <v>38</v>
      </c>
      <c r="B55" s="107">
        <f t="shared" si="8"/>
        <v>38</v>
      </c>
      <c r="C55" s="53" t="s">
        <v>108</v>
      </c>
      <c r="D55" s="53" t="s">
        <v>109</v>
      </c>
      <c r="E55" s="62">
        <f t="shared" si="6"/>
        <v>12738229.499971401</v>
      </c>
      <c r="F55" s="55">
        <v>1983392.29</v>
      </c>
      <c r="G55" s="55">
        <v>0</v>
      </c>
      <c r="H55" s="55">
        <v>764851.03</v>
      </c>
      <c r="I55" s="55">
        <v>859745.54</v>
      </c>
      <c r="J55" s="55">
        <v>0</v>
      </c>
      <c r="K55" s="55"/>
      <c r="L55" s="55"/>
      <c r="M55" s="55">
        <v>0</v>
      </c>
      <c r="N55" s="55">
        <v>4729777.2699999996</v>
      </c>
      <c r="O55" s="55">
        <v>0</v>
      </c>
      <c r="P55" s="55">
        <v>3962700.17</v>
      </c>
      <c r="Q55" s="55"/>
      <c r="R55" s="55">
        <v>118987.5845</v>
      </c>
      <c r="S55" s="63">
        <v>24854.014500000001</v>
      </c>
      <c r="T55" s="64">
        <v>293921.60097139998</v>
      </c>
      <c r="U55" s="73"/>
    </row>
    <row r="56" spans="1:21" x14ac:dyDescent="0.25">
      <c r="A56" s="193">
        <f t="shared" si="7"/>
        <v>39</v>
      </c>
      <c r="B56" s="107">
        <f t="shared" si="8"/>
        <v>39</v>
      </c>
      <c r="C56" s="53" t="s">
        <v>108</v>
      </c>
      <c r="D56" s="53" t="s">
        <v>110</v>
      </c>
      <c r="E56" s="62">
        <f t="shared" si="6"/>
        <v>10031683.765631998</v>
      </c>
      <c r="F56" s="55">
        <v>3525522.9</v>
      </c>
      <c r="G56" s="55">
        <v>0</v>
      </c>
      <c r="H56" s="55">
        <v>1377151.25</v>
      </c>
      <c r="I56" s="55"/>
      <c r="J56" s="55">
        <v>0</v>
      </c>
      <c r="K56" s="55"/>
      <c r="L56" s="55"/>
      <c r="M56" s="55">
        <v>0</v>
      </c>
      <c r="N56" s="55">
        <v>4462778.8899999997</v>
      </c>
      <c r="O56" s="55">
        <v>0</v>
      </c>
      <c r="P56" s="55">
        <v>0</v>
      </c>
      <c r="Q56" s="55">
        <v>0</v>
      </c>
      <c r="R56" s="55">
        <v>322308.03999999998</v>
      </c>
      <c r="S56" s="63">
        <v>48000</v>
      </c>
      <c r="T56" s="64">
        <v>295922.68563199998</v>
      </c>
      <c r="U56" s="73"/>
    </row>
    <row r="57" spans="1:21" x14ac:dyDescent="0.25">
      <c r="A57" s="193">
        <f t="shared" si="7"/>
        <v>40</v>
      </c>
      <c r="B57" s="107">
        <f t="shared" si="8"/>
        <v>40</v>
      </c>
      <c r="C57" s="53" t="s">
        <v>108</v>
      </c>
      <c r="D57" s="53" t="s">
        <v>111</v>
      </c>
      <c r="E57" s="62">
        <f t="shared" si="6"/>
        <v>7884285.4414625997</v>
      </c>
      <c r="F57" s="55">
        <v>5966685.6799999997</v>
      </c>
      <c r="G57" s="55">
        <v>1488946.14</v>
      </c>
      <c r="H57" s="55"/>
      <c r="I57" s="55"/>
      <c r="J57" s="55">
        <v>0</v>
      </c>
      <c r="K57" s="55"/>
      <c r="L57" s="55"/>
      <c r="M57" s="55">
        <v>0</v>
      </c>
      <c r="N57" s="55"/>
      <c r="O57" s="55">
        <v>0</v>
      </c>
      <c r="P57" s="55"/>
      <c r="Q57" s="55"/>
      <c r="R57" s="55"/>
      <c r="S57" s="63"/>
      <c r="T57" s="64">
        <v>428653.62146260001</v>
      </c>
      <c r="U57" s="73"/>
    </row>
    <row r="58" spans="1:21" x14ac:dyDescent="0.25">
      <c r="A58" s="193">
        <f t="shared" si="7"/>
        <v>41</v>
      </c>
      <c r="B58" s="107">
        <f t="shared" si="8"/>
        <v>41</v>
      </c>
      <c r="C58" s="53" t="s">
        <v>108</v>
      </c>
      <c r="D58" s="53" t="s">
        <v>112</v>
      </c>
      <c r="E58" s="62">
        <f t="shared" si="6"/>
        <v>12731761.31732418</v>
      </c>
      <c r="F58" s="55">
        <v>1765727.93</v>
      </c>
      <c r="G58" s="55">
        <v>0</v>
      </c>
      <c r="H58" s="55">
        <v>609050.4</v>
      </c>
      <c r="I58" s="55"/>
      <c r="J58" s="55">
        <v>0</v>
      </c>
      <c r="K58" s="55"/>
      <c r="L58" s="55"/>
      <c r="M58" s="55">
        <v>0</v>
      </c>
      <c r="N58" s="55">
        <v>6221591.2110660002</v>
      </c>
      <c r="O58" s="55"/>
      <c r="P58" s="55"/>
      <c r="Q58" s="55">
        <v>2928661.91</v>
      </c>
      <c r="R58" s="55">
        <v>699135.1274</v>
      </c>
      <c r="S58" s="63">
        <v>90522.263900000005</v>
      </c>
      <c r="T58" s="64">
        <v>417072.47495817998</v>
      </c>
      <c r="U58" s="73"/>
    </row>
    <row r="59" spans="1:21" x14ac:dyDescent="0.25">
      <c r="A59" s="193">
        <f t="shared" si="7"/>
        <v>42</v>
      </c>
      <c r="B59" s="107">
        <f t="shared" si="8"/>
        <v>42</v>
      </c>
      <c r="C59" s="53" t="s">
        <v>108</v>
      </c>
      <c r="D59" s="53" t="s">
        <v>113</v>
      </c>
      <c r="E59" s="62">
        <f t="shared" si="6"/>
        <v>7296497.5090870196</v>
      </c>
      <c r="F59" s="55">
        <v>3493966.86</v>
      </c>
      <c r="G59" s="55">
        <v>2141042.75</v>
      </c>
      <c r="H59" s="55"/>
      <c r="I59" s="55">
        <v>1393455.49</v>
      </c>
      <c r="J59" s="55"/>
      <c r="K59" s="55"/>
      <c r="L59" s="55"/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/>
      <c r="S59" s="63"/>
      <c r="T59" s="64">
        <v>268032.40908701997</v>
      </c>
      <c r="U59" s="73"/>
    </row>
    <row r="60" spans="1:21" x14ac:dyDescent="0.25">
      <c r="A60" s="193">
        <f t="shared" si="7"/>
        <v>43</v>
      </c>
      <c r="B60" s="107">
        <f t="shared" si="8"/>
        <v>43</v>
      </c>
      <c r="C60" s="53" t="s">
        <v>108</v>
      </c>
      <c r="D60" s="53" t="s">
        <v>114</v>
      </c>
      <c r="E60" s="62">
        <f t="shared" si="6"/>
        <v>45900104.497929007</v>
      </c>
      <c r="F60" s="55">
        <v>5399356.9199999999</v>
      </c>
      <c r="G60" s="55"/>
      <c r="H60" s="55">
        <v>2387945.1800000002</v>
      </c>
      <c r="I60" s="55">
        <v>2433472.6800000002</v>
      </c>
      <c r="J60" s="55"/>
      <c r="K60" s="55"/>
      <c r="L60" s="55"/>
      <c r="M60" s="55">
        <v>0</v>
      </c>
      <c r="N60" s="55">
        <v>11379650.75</v>
      </c>
      <c r="O60" s="55">
        <v>0</v>
      </c>
      <c r="P60" s="55">
        <v>18883188.84</v>
      </c>
      <c r="Q60" s="55">
        <v>3776525.81</v>
      </c>
      <c r="R60" s="55">
        <v>276792.45750000002</v>
      </c>
      <c r="S60" s="63">
        <v>44508.167500000003</v>
      </c>
      <c r="T60" s="64">
        <v>1318663.6929289999</v>
      </c>
      <c r="U60" s="73"/>
    </row>
    <row r="61" spans="1:21" x14ac:dyDescent="0.25">
      <c r="A61" s="193">
        <f t="shared" si="7"/>
        <v>44</v>
      </c>
      <c r="B61" s="107">
        <f t="shared" si="8"/>
        <v>44</v>
      </c>
      <c r="C61" s="53" t="s">
        <v>108</v>
      </c>
      <c r="D61" s="53" t="s">
        <v>115</v>
      </c>
      <c r="E61" s="62">
        <f t="shared" si="6"/>
        <v>9358782.4640582055</v>
      </c>
      <c r="F61" s="55">
        <v>1114194.82</v>
      </c>
      <c r="G61" s="55">
        <v>0</v>
      </c>
      <c r="H61" s="55">
        <v>325054.98</v>
      </c>
      <c r="I61" s="55">
        <v>0</v>
      </c>
      <c r="J61" s="55">
        <v>0</v>
      </c>
      <c r="K61" s="55"/>
      <c r="L61" s="55"/>
      <c r="M61" s="55">
        <v>0</v>
      </c>
      <c r="N61" s="55">
        <v>2410884.9500000002</v>
      </c>
      <c r="O61" s="55">
        <v>0</v>
      </c>
      <c r="P61" s="55">
        <v>2965969.93</v>
      </c>
      <c r="Q61" s="55">
        <v>2124525.0299999998</v>
      </c>
      <c r="R61" s="55">
        <v>222088.61</v>
      </c>
      <c r="S61" s="55">
        <f>64189.4440582085</f>
        <v>64189.444058208501</v>
      </c>
      <c r="T61" s="64">
        <v>131874.70000000001</v>
      </c>
      <c r="U61" s="73"/>
    </row>
    <row r="62" spans="1:21" x14ac:dyDescent="0.25">
      <c r="A62" s="193">
        <f t="shared" si="7"/>
        <v>45</v>
      </c>
      <c r="B62" s="107">
        <f t="shared" si="8"/>
        <v>45</v>
      </c>
      <c r="C62" s="53" t="s">
        <v>108</v>
      </c>
      <c r="D62" s="53" t="s">
        <v>116</v>
      </c>
      <c r="E62" s="62">
        <f t="shared" si="6"/>
        <v>495705.70943093998</v>
      </c>
      <c r="F62" s="55">
        <v>0</v>
      </c>
      <c r="G62" s="55">
        <v>0</v>
      </c>
      <c r="H62" s="55">
        <v>295096.46000000002</v>
      </c>
      <c r="I62" s="55">
        <v>0</v>
      </c>
      <c r="J62" s="55">
        <v>0</v>
      </c>
      <c r="K62" s="55"/>
      <c r="L62" s="55"/>
      <c r="M62" s="55">
        <v>0</v>
      </c>
      <c r="N62" s="55">
        <v>0</v>
      </c>
      <c r="O62" s="55">
        <v>0</v>
      </c>
      <c r="P62" s="55"/>
      <c r="Q62" s="55"/>
      <c r="R62" s="55"/>
      <c r="S62" s="63"/>
      <c r="T62" s="64">
        <v>200609.24943093999</v>
      </c>
      <c r="U62" s="73"/>
    </row>
    <row r="63" spans="1:21" x14ac:dyDescent="0.25">
      <c r="A63" s="193">
        <f t="shared" si="7"/>
        <v>46</v>
      </c>
      <c r="B63" s="107">
        <f t="shared" si="8"/>
        <v>46</v>
      </c>
      <c r="C63" s="53" t="s">
        <v>108</v>
      </c>
      <c r="D63" s="53" t="s">
        <v>117</v>
      </c>
      <c r="E63" s="62">
        <f t="shared" si="6"/>
        <v>295096.46000000002</v>
      </c>
      <c r="F63" s="55">
        <v>0</v>
      </c>
      <c r="G63" s="55">
        <v>0</v>
      </c>
      <c r="H63" s="55">
        <v>295096.46000000002</v>
      </c>
      <c r="I63" s="55">
        <v>0</v>
      </c>
      <c r="J63" s="55">
        <v>0</v>
      </c>
      <c r="K63" s="55"/>
      <c r="L63" s="55"/>
      <c r="M63" s="55">
        <v>0</v>
      </c>
      <c r="N63" s="55">
        <v>0</v>
      </c>
      <c r="O63" s="55">
        <v>0</v>
      </c>
      <c r="P63" s="55"/>
      <c r="Q63" s="55"/>
      <c r="R63" s="55"/>
      <c r="S63" s="63"/>
      <c r="T63" s="64"/>
      <c r="U63" s="73"/>
    </row>
    <row r="64" spans="1:21" x14ac:dyDescent="0.25">
      <c r="A64" s="193">
        <f t="shared" si="7"/>
        <v>47</v>
      </c>
      <c r="B64" s="107">
        <f t="shared" si="8"/>
        <v>47</v>
      </c>
      <c r="C64" s="53" t="s">
        <v>108</v>
      </c>
      <c r="D64" s="53" t="s">
        <v>118</v>
      </c>
      <c r="E64" s="62">
        <f t="shared" si="6"/>
        <v>20563603.904344082</v>
      </c>
      <c r="F64" s="7"/>
      <c r="G64" s="55"/>
      <c r="I64" s="55"/>
      <c r="J64" s="55"/>
      <c r="K64" s="55"/>
      <c r="L64" s="55"/>
      <c r="M64" s="55">
        <v>0</v>
      </c>
      <c r="N64" s="55"/>
      <c r="O64" s="55">
        <v>0</v>
      </c>
      <c r="P64" s="55">
        <v>13315014.15</v>
      </c>
      <c r="Q64" s="55">
        <v>6316602.7000000002</v>
      </c>
      <c r="R64" s="55">
        <v>184016.59</v>
      </c>
      <c r="S64" s="63"/>
      <c r="T64" s="64">
        <v>747970.46434407996</v>
      </c>
      <c r="U64" s="73"/>
    </row>
    <row r="65" spans="1:21" x14ac:dyDescent="0.25">
      <c r="A65" s="193">
        <f t="shared" si="7"/>
        <v>48</v>
      </c>
      <c r="B65" s="107">
        <f t="shared" si="8"/>
        <v>48</v>
      </c>
      <c r="C65" s="53" t="s">
        <v>108</v>
      </c>
      <c r="D65" s="53" t="s">
        <v>119</v>
      </c>
      <c r="E65" s="62">
        <f t="shared" si="6"/>
        <v>26746433.920307979</v>
      </c>
      <c r="F65" s="55">
        <v>4769407.0999999996</v>
      </c>
      <c r="G65" s="55"/>
      <c r="I65" s="55">
        <v>1031316.84</v>
      </c>
      <c r="J65" s="55"/>
      <c r="K65" s="55"/>
      <c r="L65" s="55"/>
      <c r="M65" s="55">
        <v>0</v>
      </c>
      <c r="N65" s="55">
        <v>10189652.140000001</v>
      </c>
      <c r="O65" s="55">
        <v>0</v>
      </c>
      <c r="P65" s="55">
        <v>7616799.1900000004</v>
      </c>
      <c r="Q65" s="55">
        <v>787626.31</v>
      </c>
      <c r="R65" s="55">
        <v>1118801.88790099</v>
      </c>
      <c r="S65" s="55">
        <f>64785.607900992</f>
        <v>64785.607900991999</v>
      </c>
      <c r="T65" s="64">
        <v>1168044.8445059999</v>
      </c>
      <c r="U65" s="73"/>
    </row>
    <row r="66" spans="1:21" x14ac:dyDescent="0.25">
      <c r="A66" s="193">
        <f t="shared" si="7"/>
        <v>49</v>
      </c>
      <c r="B66" s="107">
        <f t="shared" si="8"/>
        <v>49</v>
      </c>
      <c r="C66" s="53" t="s">
        <v>108</v>
      </c>
      <c r="D66" s="53" t="s">
        <v>120</v>
      </c>
      <c r="E66" s="62">
        <f t="shared" si="6"/>
        <v>701860.01140024001</v>
      </c>
      <c r="F66" s="55"/>
      <c r="G66" s="55"/>
      <c r="H66" s="55">
        <v>657551.96</v>
      </c>
      <c r="I66" s="55"/>
      <c r="J66" s="55"/>
      <c r="K66" s="55"/>
      <c r="L66" s="55"/>
      <c r="M66" s="55">
        <v>0</v>
      </c>
      <c r="N66" s="55"/>
      <c r="O66" s="55">
        <v>0</v>
      </c>
      <c r="P66" s="55">
        <v>0</v>
      </c>
      <c r="Q66" s="55">
        <v>0</v>
      </c>
      <c r="R66" s="55"/>
      <c r="S66" s="63"/>
      <c r="T66" s="64">
        <v>44308.051400240001</v>
      </c>
      <c r="U66" s="73"/>
    </row>
    <row r="67" spans="1:21" s="69" customFormat="1" x14ac:dyDescent="0.25">
      <c r="A67" s="193">
        <f t="shared" si="7"/>
        <v>50</v>
      </c>
      <c r="B67" s="107">
        <f t="shared" si="8"/>
        <v>50</v>
      </c>
      <c r="C67" s="53" t="s">
        <v>108</v>
      </c>
      <c r="D67" s="53" t="s">
        <v>121</v>
      </c>
      <c r="E67" s="62">
        <f t="shared" si="6"/>
        <v>6059622.2357299514</v>
      </c>
      <c r="F67" s="62"/>
      <c r="G67" s="62"/>
      <c r="H67" s="62"/>
      <c r="I67" s="62"/>
      <c r="J67" s="62"/>
      <c r="K67" s="62"/>
      <c r="L67" s="62"/>
      <c r="M67" s="62">
        <v>5738993.2800000003</v>
      </c>
      <c r="N67" s="62"/>
      <c r="O67" s="62"/>
      <c r="P67" s="62"/>
      <c r="Q67" s="62"/>
      <c r="R67" s="62">
        <v>146568.92267520001</v>
      </c>
      <c r="S67" s="62">
        <v>24000</v>
      </c>
      <c r="T67" s="62">
        <v>150060.03305475099</v>
      </c>
      <c r="U67" s="73"/>
    </row>
    <row r="68" spans="1:21" s="69" customFormat="1" x14ac:dyDescent="0.25">
      <c r="A68" s="193">
        <f t="shared" si="7"/>
        <v>51</v>
      </c>
      <c r="B68" s="107">
        <f t="shared" si="8"/>
        <v>51</v>
      </c>
      <c r="C68" s="53" t="s">
        <v>108</v>
      </c>
      <c r="D68" s="53" t="s">
        <v>124</v>
      </c>
      <c r="E68" s="62">
        <f t="shared" si="6"/>
        <v>6048926.2934416514</v>
      </c>
      <c r="F68" s="62"/>
      <c r="G68" s="62"/>
      <c r="H68" s="62"/>
      <c r="I68" s="62"/>
      <c r="J68" s="62"/>
      <c r="K68" s="62"/>
      <c r="L68" s="62"/>
      <c r="M68" s="62">
        <v>5738993.2800000003</v>
      </c>
      <c r="N68" s="62"/>
      <c r="O68" s="62"/>
      <c r="P68" s="62"/>
      <c r="Q68" s="62"/>
      <c r="R68" s="62">
        <v>135639.08179200001</v>
      </c>
      <c r="S68" s="62">
        <v>24000</v>
      </c>
      <c r="T68" s="62">
        <v>150293.931649651</v>
      </c>
      <c r="U68" s="73"/>
    </row>
    <row r="69" spans="1:21" x14ac:dyDescent="0.25">
      <c r="A69" s="193">
        <f t="shared" si="7"/>
        <v>52</v>
      </c>
      <c r="B69" s="107">
        <f t="shared" si="8"/>
        <v>52</v>
      </c>
      <c r="C69" s="53" t="s">
        <v>108</v>
      </c>
      <c r="D69" s="53" t="s">
        <v>126</v>
      </c>
      <c r="E69" s="62">
        <f t="shared" si="6"/>
        <v>1231516.4522619999</v>
      </c>
      <c r="F69" s="55"/>
      <c r="G69" s="55"/>
      <c r="H69" s="55"/>
      <c r="I69" s="55"/>
      <c r="J69" s="55">
        <f>1117005.032262+1399.01</f>
        <v>1118404.042262</v>
      </c>
      <c r="K69" s="55"/>
      <c r="L69" s="55"/>
      <c r="M69" s="55"/>
      <c r="N69" s="55"/>
      <c r="O69" s="55">
        <v>0</v>
      </c>
      <c r="P69" s="55">
        <v>0</v>
      </c>
      <c r="Q69" s="55">
        <v>0</v>
      </c>
      <c r="R69" s="55"/>
      <c r="S69" s="63"/>
      <c r="T69" s="64">
        <v>113112.41</v>
      </c>
      <c r="U69" s="73"/>
    </row>
    <row r="70" spans="1:21" x14ac:dyDescent="0.25">
      <c r="A70" s="193">
        <f t="shared" si="7"/>
        <v>53</v>
      </c>
      <c r="B70" s="107">
        <f t="shared" si="8"/>
        <v>53</v>
      </c>
      <c r="C70" s="53" t="s">
        <v>108</v>
      </c>
      <c r="D70" s="53" t="s">
        <v>127</v>
      </c>
      <c r="E70" s="62">
        <f t="shared" si="6"/>
        <v>784502.32414875994</v>
      </c>
      <c r="F70" s="55"/>
      <c r="G70" s="55"/>
      <c r="H70" s="55">
        <v>727596.98</v>
      </c>
      <c r="I70" s="55"/>
      <c r="J70" s="55"/>
      <c r="K70" s="55"/>
      <c r="L70" s="55"/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/>
      <c r="S70" s="63"/>
      <c r="T70" s="64">
        <v>56905.344148759999</v>
      </c>
      <c r="U70" s="73"/>
    </row>
    <row r="71" spans="1:21" x14ac:dyDescent="0.25">
      <c r="A71" s="193">
        <f t="shared" si="7"/>
        <v>54</v>
      </c>
      <c r="B71" s="107">
        <f t="shared" si="8"/>
        <v>54</v>
      </c>
      <c r="C71" s="53" t="s">
        <v>108</v>
      </c>
      <c r="D71" s="53" t="s">
        <v>128</v>
      </c>
      <c r="E71" s="62">
        <f t="shared" si="6"/>
        <v>4592465.8816174399</v>
      </c>
      <c r="F71" s="55">
        <v>2728315.47</v>
      </c>
      <c r="G71" s="55">
        <v>1047486.37</v>
      </c>
      <c r="H71" s="55">
        <v>607322.06000000006</v>
      </c>
      <c r="I71" s="55"/>
      <c r="J71" s="55"/>
      <c r="K71" s="55"/>
      <c r="L71" s="55"/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/>
      <c r="S71" s="63"/>
      <c r="T71" s="64">
        <v>209341.98161744</v>
      </c>
      <c r="U71" s="73"/>
    </row>
    <row r="72" spans="1:21" x14ac:dyDescent="0.25">
      <c r="A72" s="193">
        <f t="shared" si="7"/>
        <v>55</v>
      </c>
      <c r="B72" s="107">
        <f t="shared" si="8"/>
        <v>55</v>
      </c>
      <c r="C72" s="53" t="s">
        <v>108</v>
      </c>
      <c r="D72" s="53" t="s">
        <v>129</v>
      </c>
      <c r="E72" s="62">
        <f t="shared" si="6"/>
        <v>2718733.1342166201</v>
      </c>
      <c r="F72" s="55"/>
      <c r="G72" s="55">
        <v>0</v>
      </c>
      <c r="H72" s="55"/>
      <c r="I72" s="55">
        <v>1827661.8</v>
      </c>
      <c r="J72" s="55">
        <v>0</v>
      </c>
      <c r="K72" s="55"/>
      <c r="L72" s="55"/>
      <c r="M72" s="55">
        <v>0</v>
      </c>
      <c r="N72" s="55"/>
      <c r="O72" s="55">
        <v>0</v>
      </c>
      <c r="P72" s="55"/>
      <c r="Q72" s="55">
        <v>0</v>
      </c>
      <c r="R72" s="55"/>
      <c r="S72" s="63"/>
      <c r="T72" s="64">
        <v>891071.33421661996</v>
      </c>
      <c r="U72" s="73"/>
    </row>
    <row r="73" spans="1:21" x14ac:dyDescent="0.25">
      <c r="A73" s="193">
        <f t="shared" si="7"/>
        <v>56</v>
      </c>
      <c r="B73" s="107">
        <f t="shared" si="8"/>
        <v>56</v>
      </c>
      <c r="C73" s="53" t="s">
        <v>108</v>
      </c>
      <c r="D73" s="53" t="s">
        <v>130</v>
      </c>
      <c r="E73" s="62">
        <f t="shared" si="6"/>
        <v>3385337.9774930598</v>
      </c>
      <c r="F73" s="55"/>
      <c r="G73" s="55">
        <v>0</v>
      </c>
      <c r="H73" s="55"/>
      <c r="I73" s="55"/>
      <c r="J73" s="55">
        <v>0</v>
      </c>
      <c r="K73" s="55"/>
      <c r="L73" s="55"/>
      <c r="M73" s="55">
        <v>0</v>
      </c>
      <c r="N73" s="55">
        <v>2845906.28</v>
      </c>
      <c r="O73" s="55">
        <v>0</v>
      </c>
      <c r="P73" s="55"/>
      <c r="Q73" s="55">
        <v>0</v>
      </c>
      <c r="R73" s="55"/>
      <c r="S73" s="63"/>
      <c r="T73" s="64">
        <v>539431.69749306003</v>
      </c>
      <c r="U73" s="73"/>
    </row>
    <row r="74" spans="1:21" x14ac:dyDescent="0.25">
      <c r="A74" s="193">
        <f t="shared" si="7"/>
        <v>57</v>
      </c>
      <c r="B74" s="107">
        <f t="shared" si="8"/>
        <v>57</v>
      </c>
      <c r="C74" s="53" t="s">
        <v>108</v>
      </c>
      <c r="D74" s="53" t="s">
        <v>131</v>
      </c>
      <c r="E74" s="62">
        <f t="shared" si="6"/>
        <v>6382437.5058791805</v>
      </c>
      <c r="F74" s="55"/>
      <c r="G74" s="55">
        <v>0</v>
      </c>
      <c r="J74" s="55">
        <v>0</v>
      </c>
      <c r="K74" s="55"/>
      <c r="L74" s="55"/>
      <c r="M74" s="55">
        <v>0</v>
      </c>
      <c r="N74" s="55">
        <v>3018526.85</v>
      </c>
      <c r="O74" s="55">
        <v>0</v>
      </c>
      <c r="P74" s="55"/>
      <c r="Q74" s="55">
        <v>0</v>
      </c>
      <c r="R74" s="55">
        <v>2550189.8569999998</v>
      </c>
      <c r="S74" s="63">
        <f>278424.5693</f>
        <v>278424.56929999997</v>
      </c>
      <c r="T74" s="64">
        <v>535296.22957918001</v>
      </c>
      <c r="U74" s="73"/>
    </row>
    <row r="75" spans="1:21" x14ac:dyDescent="0.25">
      <c r="A75" s="193">
        <f t="shared" si="7"/>
        <v>58</v>
      </c>
      <c r="B75" s="107">
        <f t="shared" si="8"/>
        <v>58</v>
      </c>
      <c r="C75" s="53" t="s">
        <v>108</v>
      </c>
      <c r="D75" s="53" t="s">
        <v>132</v>
      </c>
      <c r="E75" s="62">
        <f t="shared" si="6"/>
        <v>9734596.8718827199</v>
      </c>
      <c r="F75" s="55"/>
      <c r="G75" s="55"/>
      <c r="H75" s="55"/>
      <c r="I75" s="55"/>
      <c r="J75" s="55">
        <v>0</v>
      </c>
      <c r="K75" s="55"/>
      <c r="L75" s="55"/>
      <c r="M75" s="55">
        <v>0</v>
      </c>
      <c r="N75" s="55">
        <v>0</v>
      </c>
      <c r="O75" s="55">
        <v>0</v>
      </c>
      <c r="P75" s="55">
        <v>9311700.5</v>
      </c>
      <c r="Q75" s="55">
        <v>0</v>
      </c>
      <c r="R75" s="55"/>
      <c r="S75" s="63"/>
      <c r="T75" s="64">
        <v>422896.37188271998</v>
      </c>
      <c r="U75" s="73"/>
    </row>
    <row r="76" spans="1:21" x14ac:dyDescent="0.25">
      <c r="A76" s="193">
        <f t="shared" si="7"/>
        <v>59</v>
      </c>
      <c r="B76" s="107">
        <f t="shared" si="8"/>
        <v>59</v>
      </c>
      <c r="C76" s="53" t="s">
        <v>108</v>
      </c>
      <c r="D76" s="53" t="s">
        <v>133</v>
      </c>
      <c r="E76" s="62">
        <f t="shared" si="6"/>
        <v>34443200.645936362</v>
      </c>
      <c r="F76" s="55">
        <v>6954265.3799999999</v>
      </c>
      <c r="G76" s="55">
        <v>2374323.58</v>
      </c>
      <c r="H76" s="55">
        <v>3305645.72</v>
      </c>
      <c r="I76" s="55">
        <v>2650517.1800000002</v>
      </c>
      <c r="J76" s="55"/>
      <c r="K76" s="55"/>
      <c r="L76" s="55"/>
      <c r="M76" s="55"/>
      <c r="N76" s="55">
        <v>7951460.7199999997</v>
      </c>
      <c r="O76" s="55"/>
      <c r="P76" s="55"/>
      <c r="Q76" s="55">
        <v>9695977.5800000001</v>
      </c>
      <c r="R76" s="55">
        <v>328083.39630000002</v>
      </c>
      <c r="S76" s="63">
        <v>44553.206299999998</v>
      </c>
      <c r="T76" s="64">
        <v>1138373.8833363601</v>
      </c>
      <c r="U76" s="73"/>
    </row>
    <row r="77" spans="1:21" x14ac:dyDescent="0.25">
      <c r="A77" s="193">
        <f t="shared" si="7"/>
        <v>60</v>
      </c>
      <c r="B77" s="107">
        <f t="shared" si="8"/>
        <v>60</v>
      </c>
      <c r="C77" s="53" t="s">
        <v>108</v>
      </c>
      <c r="D77" s="53" t="s">
        <v>134</v>
      </c>
      <c r="E77" s="62">
        <f t="shared" si="6"/>
        <v>1171020.99</v>
      </c>
      <c r="F77" s="55"/>
      <c r="G77" s="55">
        <v>0</v>
      </c>
      <c r="H77" s="55">
        <v>0</v>
      </c>
      <c r="I77" s="55">
        <v>0</v>
      </c>
      <c r="J77" s="55">
        <v>1171020.99</v>
      </c>
      <c r="K77" s="55"/>
      <c r="L77" s="55"/>
      <c r="M77" s="55">
        <v>0</v>
      </c>
      <c r="N77" s="55"/>
      <c r="O77" s="55">
        <v>0</v>
      </c>
      <c r="P77" s="55"/>
      <c r="Q77" s="55"/>
      <c r="R77" s="55"/>
      <c r="S77" s="63"/>
      <c r="T77" s="64"/>
      <c r="U77" s="73"/>
    </row>
    <row r="78" spans="1:21" x14ac:dyDescent="0.25">
      <c r="A78" s="193">
        <f t="shared" si="7"/>
        <v>61</v>
      </c>
      <c r="B78" s="107">
        <f t="shared" si="8"/>
        <v>61</v>
      </c>
      <c r="C78" s="53" t="s">
        <v>108</v>
      </c>
      <c r="D78" s="53" t="s">
        <v>135</v>
      </c>
      <c r="E78" s="62">
        <f t="shared" si="6"/>
        <v>20719813.758428805</v>
      </c>
      <c r="F78" s="55">
        <v>7847760.9900000002</v>
      </c>
      <c r="G78" s="55"/>
      <c r="H78" s="55"/>
      <c r="I78" s="55"/>
      <c r="J78" s="55"/>
      <c r="K78" s="55"/>
      <c r="L78" s="55"/>
      <c r="M78" s="55">
        <v>0</v>
      </c>
      <c r="N78" s="55">
        <v>0</v>
      </c>
      <c r="O78" s="55">
        <v>0</v>
      </c>
      <c r="P78" s="55">
        <v>0</v>
      </c>
      <c r="Q78" s="55">
        <f>7597182.26+3870122.95</f>
        <v>11467305.210000001</v>
      </c>
      <c r="R78" s="55">
        <v>504570.49900000001</v>
      </c>
      <c r="S78" s="63">
        <v>88504.399000000005</v>
      </c>
      <c r="T78" s="64">
        <v>811672.66042880004</v>
      </c>
      <c r="U78" s="73"/>
    </row>
    <row r="79" spans="1:21" x14ac:dyDescent="0.25">
      <c r="A79" s="193">
        <f t="shared" si="7"/>
        <v>62</v>
      </c>
      <c r="B79" s="107">
        <f t="shared" si="8"/>
        <v>62</v>
      </c>
      <c r="C79" s="53" t="s">
        <v>108</v>
      </c>
      <c r="D79" s="53" t="s">
        <v>136</v>
      </c>
      <c r="E79" s="62">
        <f t="shared" si="6"/>
        <v>15568933.82189</v>
      </c>
      <c r="F79" s="55">
        <v>0</v>
      </c>
      <c r="G79" s="55">
        <v>0</v>
      </c>
      <c r="H79" s="55">
        <v>0</v>
      </c>
      <c r="I79" s="55">
        <v>0</v>
      </c>
      <c r="J79" s="55"/>
      <c r="K79" s="55"/>
      <c r="L79" s="55"/>
      <c r="M79" s="55">
        <v>0</v>
      </c>
      <c r="N79" s="55">
        <v>0</v>
      </c>
      <c r="O79" s="55">
        <v>0</v>
      </c>
      <c r="P79" s="55">
        <v>15562524.65</v>
      </c>
      <c r="Q79" s="55">
        <v>0</v>
      </c>
      <c r="R79" s="55"/>
      <c r="S79" s="63"/>
      <c r="T79" s="64">
        <v>6409.1718899999996</v>
      </c>
      <c r="U79" s="73"/>
    </row>
    <row r="80" spans="1:21" x14ac:dyDescent="0.25">
      <c r="A80" s="193">
        <f t="shared" si="7"/>
        <v>63</v>
      </c>
      <c r="B80" s="107">
        <f t="shared" si="8"/>
        <v>63</v>
      </c>
      <c r="C80" s="53" t="s">
        <v>108</v>
      </c>
      <c r="D80" s="53" t="s">
        <v>137</v>
      </c>
      <c r="E80" s="62">
        <f t="shared" si="6"/>
        <v>14757670.589566819</v>
      </c>
      <c r="F80" s="55"/>
      <c r="G80" s="55"/>
      <c r="H80" s="55">
        <v>1212218.3400000001</v>
      </c>
      <c r="I80" s="55"/>
      <c r="J80" s="55"/>
      <c r="K80" s="55"/>
      <c r="L80" s="55"/>
      <c r="M80" s="55">
        <v>0</v>
      </c>
      <c r="N80" s="55"/>
      <c r="O80" s="55">
        <v>0</v>
      </c>
      <c r="P80" s="55">
        <v>12904791.25</v>
      </c>
      <c r="Q80" s="55"/>
      <c r="R80" s="55"/>
      <c r="S80" s="63"/>
      <c r="T80" s="64">
        <v>640660.99956681998</v>
      </c>
      <c r="U80" s="73"/>
    </row>
    <row r="81" spans="1:21" x14ac:dyDescent="0.25">
      <c r="A81" s="193">
        <f t="shared" si="7"/>
        <v>64</v>
      </c>
      <c r="B81" s="107">
        <f t="shared" si="8"/>
        <v>64</v>
      </c>
      <c r="C81" s="53" t="s">
        <v>108</v>
      </c>
      <c r="D81" s="53" t="s">
        <v>138</v>
      </c>
      <c r="E81" s="62">
        <f t="shared" si="6"/>
        <v>14905757.105931221</v>
      </c>
      <c r="F81" s="55"/>
      <c r="G81" s="55"/>
      <c r="H81" s="55">
        <v>1218340.6599999999</v>
      </c>
      <c r="I81" s="55"/>
      <c r="J81" s="55"/>
      <c r="K81" s="55"/>
      <c r="L81" s="55"/>
      <c r="M81" s="55">
        <v>0</v>
      </c>
      <c r="N81" s="55"/>
      <c r="O81" s="55">
        <v>0</v>
      </c>
      <c r="P81" s="55">
        <v>13044527.99</v>
      </c>
      <c r="Q81" s="55"/>
      <c r="R81" s="55"/>
      <c r="S81" s="63"/>
      <c r="T81" s="64">
        <v>642888.45593121997</v>
      </c>
      <c r="U81" s="73"/>
    </row>
    <row r="82" spans="1:21" x14ac:dyDescent="0.25">
      <c r="A82" s="193">
        <f t="shared" si="7"/>
        <v>65</v>
      </c>
      <c r="B82" s="107">
        <f t="shared" si="8"/>
        <v>65</v>
      </c>
      <c r="C82" s="53" t="s">
        <v>108</v>
      </c>
      <c r="D82" s="53" t="s">
        <v>139</v>
      </c>
      <c r="E82" s="62">
        <f t="shared" ref="E82:E113" si="9">SUBTOTAL(9, F82:T82)</f>
        <v>9499544.7837941013</v>
      </c>
      <c r="F82" s="55">
        <v>6542286.3200000003</v>
      </c>
      <c r="G82" s="55">
        <v>0</v>
      </c>
      <c r="H82" s="55">
        <v>1697416.27</v>
      </c>
      <c r="I82" s="55">
        <v>0</v>
      </c>
      <c r="J82" s="55"/>
      <c r="K82" s="55"/>
      <c r="L82" s="55"/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937979.5906</v>
      </c>
      <c r="S82" s="63">
        <v>109643.8679</v>
      </c>
      <c r="T82" s="64">
        <v>212218.73529410001</v>
      </c>
      <c r="U82" s="73"/>
    </row>
    <row r="83" spans="1:21" x14ac:dyDescent="0.25">
      <c r="A83" s="193">
        <f t="shared" ref="A83:A114" si="10">+A82+1</f>
        <v>66</v>
      </c>
      <c r="B83" s="107">
        <f t="shared" ref="B83:B114" si="11">+B82+1</f>
        <v>66</v>
      </c>
      <c r="C83" s="53" t="s">
        <v>108</v>
      </c>
      <c r="D83" s="53" t="s">
        <v>140</v>
      </c>
      <c r="E83" s="62">
        <f t="shared" si="9"/>
        <v>6122093.3446254004</v>
      </c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>
        <v>5951792.4900000002</v>
      </c>
      <c r="R83" s="55"/>
      <c r="S83" s="63"/>
      <c r="T83" s="64">
        <v>170300.85462540001</v>
      </c>
      <c r="U83" s="73"/>
    </row>
    <row r="84" spans="1:21" x14ac:dyDescent="0.25">
      <c r="A84" s="193">
        <f t="shared" si="10"/>
        <v>67</v>
      </c>
      <c r="B84" s="107">
        <f t="shared" si="11"/>
        <v>67</v>
      </c>
      <c r="C84" s="53" t="s">
        <v>108</v>
      </c>
      <c r="D84" s="53" t="s">
        <v>141</v>
      </c>
      <c r="E84" s="62">
        <f t="shared" si="9"/>
        <v>13180476.834345801</v>
      </c>
      <c r="F84" s="55"/>
      <c r="G84" s="55"/>
      <c r="H84" s="55"/>
      <c r="I84" s="55"/>
      <c r="J84" s="55"/>
      <c r="K84" s="55"/>
      <c r="L84" s="55"/>
      <c r="M84" s="55"/>
      <c r="N84" s="55">
        <v>8640336.7400000002</v>
      </c>
      <c r="O84" s="55"/>
      <c r="P84" s="55"/>
      <c r="Q84" s="55">
        <v>4367516.82</v>
      </c>
      <c r="R84" s="55"/>
      <c r="S84" s="63"/>
      <c r="T84" s="64">
        <v>172623.27434579999</v>
      </c>
      <c r="U84" s="73"/>
    </row>
    <row r="85" spans="1:21" x14ac:dyDescent="0.25">
      <c r="A85" s="193">
        <f t="shared" si="10"/>
        <v>68</v>
      </c>
      <c r="B85" s="107">
        <f t="shared" si="11"/>
        <v>68</v>
      </c>
      <c r="C85" s="53" t="s">
        <v>108</v>
      </c>
      <c r="D85" s="53" t="s">
        <v>142</v>
      </c>
      <c r="E85" s="62">
        <f t="shared" si="9"/>
        <v>6961640.1664998997</v>
      </c>
      <c r="F85" s="55"/>
      <c r="G85" s="55"/>
      <c r="H85" s="55"/>
      <c r="I85" s="55"/>
      <c r="J85" s="55"/>
      <c r="K85" s="55"/>
      <c r="L85" s="55"/>
      <c r="M85" s="55">
        <v>0</v>
      </c>
      <c r="N85" s="55"/>
      <c r="O85" s="55">
        <v>0</v>
      </c>
      <c r="P85" s="55"/>
      <c r="Q85" s="55">
        <v>6748339.8099999996</v>
      </c>
      <c r="R85" s="55"/>
      <c r="S85" s="63"/>
      <c r="T85" s="64">
        <v>213300.35649989999</v>
      </c>
      <c r="U85" s="73"/>
    </row>
    <row r="86" spans="1:21" x14ac:dyDescent="0.25">
      <c r="A86" s="193">
        <f t="shared" si="10"/>
        <v>69</v>
      </c>
      <c r="B86" s="107">
        <f t="shared" si="11"/>
        <v>69</v>
      </c>
      <c r="C86" s="53" t="s">
        <v>108</v>
      </c>
      <c r="D86" s="53" t="s">
        <v>143</v>
      </c>
      <c r="E86" s="62">
        <f t="shared" si="9"/>
        <v>31419194.676773801</v>
      </c>
      <c r="F86" s="55">
        <v>9954639.8599999994</v>
      </c>
      <c r="G86" s="55">
        <v>6212728.6200000001</v>
      </c>
      <c r="H86" s="55"/>
      <c r="I86" s="55">
        <v>4876418.04</v>
      </c>
      <c r="J86" s="55"/>
      <c r="K86" s="55"/>
      <c r="L86" s="55"/>
      <c r="M86" s="55">
        <v>0</v>
      </c>
      <c r="N86" s="55">
        <v>9984420.9700000007</v>
      </c>
      <c r="O86" s="55">
        <v>0</v>
      </c>
      <c r="P86" s="55"/>
      <c r="Q86" s="55"/>
      <c r="R86" s="55"/>
      <c r="S86" s="63"/>
      <c r="T86" s="64">
        <v>390987.1867738</v>
      </c>
      <c r="U86" s="73"/>
    </row>
    <row r="87" spans="1:21" s="69" customFormat="1" x14ac:dyDescent="0.25">
      <c r="A87" s="193">
        <f t="shared" si="10"/>
        <v>70</v>
      </c>
      <c r="B87" s="107">
        <f t="shared" si="11"/>
        <v>70</v>
      </c>
      <c r="C87" s="53" t="s">
        <v>108</v>
      </c>
      <c r="D87" s="53" t="s">
        <v>144</v>
      </c>
      <c r="E87" s="62">
        <f t="shared" si="9"/>
        <v>9021353.7382023316</v>
      </c>
      <c r="F87" s="62"/>
      <c r="G87" s="62"/>
      <c r="H87" s="62"/>
      <c r="I87" s="62"/>
      <c r="J87" s="62"/>
      <c r="K87" s="62"/>
      <c r="L87" s="62"/>
      <c r="M87" s="62">
        <v>8608489.9199999999</v>
      </c>
      <c r="N87" s="62"/>
      <c r="O87" s="62"/>
      <c r="P87" s="62"/>
      <c r="Q87" s="62"/>
      <c r="R87" s="62">
        <v>162285.00531609601</v>
      </c>
      <c r="S87" s="62">
        <v>24000</v>
      </c>
      <c r="T87" s="62">
        <v>226578.812886236</v>
      </c>
      <c r="U87" s="73"/>
    </row>
    <row r="88" spans="1:21" x14ac:dyDescent="0.25">
      <c r="A88" s="193">
        <f t="shared" si="10"/>
        <v>71</v>
      </c>
      <c r="B88" s="107">
        <f t="shared" si="11"/>
        <v>71</v>
      </c>
      <c r="C88" s="53" t="s">
        <v>108</v>
      </c>
      <c r="D88" s="53" t="s">
        <v>146</v>
      </c>
      <c r="E88" s="62">
        <f t="shared" si="9"/>
        <v>29481765.911612157</v>
      </c>
      <c r="F88" s="55">
        <v>0</v>
      </c>
      <c r="G88" s="55">
        <v>0</v>
      </c>
      <c r="H88" s="55"/>
      <c r="I88" s="55">
        <v>0</v>
      </c>
      <c r="J88" s="55">
        <v>0</v>
      </c>
      <c r="K88" s="55"/>
      <c r="L88" s="55"/>
      <c r="M88" s="55">
        <v>0</v>
      </c>
      <c r="N88" s="55">
        <v>12527051.33</v>
      </c>
      <c r="O88" s="55">
        <v>0</v>
      </c>
      <c r="P88" s="55">
        <v>16115638.25</v>
      </c>
      <c r="Q88" s="55">
        <v>0</v>
      </c>
      <c r="R88" s="55"/>
      <c r="S88" s="63"/>
      <c r="T88" s="64">
        <v>839076.33161215996</v>
      </c>
      <c r="U88" s="73"/>
    </row>
    <row r="89" spans="1:21" x14ac:dyDescent="0.25">
      <c r="A89" s="193">
        <f t="shared" si="10"/>
        <v>72</v>
      </c>
      <c r="B89" s="107">
        <f t="shared" si="11"/>
        <v>72</v>
      </c>
      <c r="C89" s="53" t="s">
        <v>108</v>
      </c>
      <c r="D89" s="53" t="s">
        <v>147</v>
      </c>
      <c r="E89" s="62">
        <f t="shared" si="9"/>
        <v>1195255.9053653199</v>
      </c>
      <c r="F89" s="55"/>
      <c r="H89" s="55">
        <v>1057009.1599999999</v>
      </c>
      <c r="I89" s="55"/>
      <c r="J89" s="55">
        <v>0</v>
      </c>
      <c r="K89" s="55"/>
      <c r="L89" s="55"/>
      <c r="M89" s="55">
        <v>0</v>
      </c>
      <c r="O89" s="55">
        <v>0</v>
      </c>
      <c r="P89" s="55">
        <v>0</v>
      </c>
      <c r="Q89" s="55">
        <v>0</v>
      </c>
      <c r="R89" s="55"/>
      <c r="S89" s="63"/>
      <c r="T89" s="64">
        <v>138246.74536532001</v>
      </c>
      <c r="U89" s="73"/>
    </row>
    <row r="90" spans="1:21" x14ac:dyDescent="0.25">
      <c r="A90" s="193">
        <f t="shared" si="10"/>
        <v>73</v>
      </c>
      <c r="B90" s="107">
        <f t="shared" si="11"/>
        <v>73</v>
      </c>
      <c r="C90" s="53" t="s">
        <v>108</v>
      </c>
      <c r="D90" s="53" t="s">
        <v>148</v>
      </c>
      <c r="E90" s="62">
        <f t="shared" si="9"/>
        <v>5574102.9828846604</v>
      </c>
      <c r="F90" s="55">
        <v>1651323.46</v>
      </c>
      <c r="G90" s="55"/>
      <c r="H90" s="55">
        <v>819773.26</v>
      </c>
      <c r="I90" s="55">
        <v>732192.34</v>
      </c>
      <c r="J90" s="55"/>
      <c r="K90" s="55"/>
      <c r="L90" s="55"/>
      <c r="M90" s="55">
        <v>0</v>
      </c>
      <c r="N90" s="55"/>
      <c r="O90" s="55">
        <v>0</v>
      </c>
      <c r="P90" s="55">
        <v>1813665.02</v>
      </c>
      <c r="Q90" s="55">
        <v>0</v>
      </c>
      <c r="R90" s="55"/>
      <c r="S90" s="63"/>
      <c r="T90" s="64">
        <v>557148.90288466006</v>
      </c>
      <c r="U90" s="73"/>
    </row>
    <row r="91" spans="1:21" x14ac:dyDescent="0.25">
      <c r="A91" s="193">
        <f t="shared" si="10"/>
        <v>74</v>
      </c>
      <c r="B91" s="107">
        <f t="shared" si="11"/>
        <v>74</v>
      </c>
      <c r="C91" s="53" t="s">
        <v>108</v>
      </c>
      <c r="D91" s="53" t="s">
        <v>149</v>
      </c>
      <c r="E91" s="62">
        <f t="shared" si="9"/>
        <v>2006872.7686219998</v>
      </c>
      <c r="F91" s="55">
        <v>0</v>
      </c>
      <c r="G91" s="55">
        <v>0</v>
      </c>
      <c r="H91" s="55">
        <v>0</v>
      </c>
      <c r="I91" s="55">
        <v>0</v>
      </c>
      <c r="J91" s="55">
        <v>1842675.65</v>
      </c>
      <c r="K91" s="55"/>
      <c r="L91" s="55"/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123984.47</v>
      </c>
      <c r="S91" s="55"/>
      <c r="T91" s="64">
        <v>40212.648622000001</v>
      </c>
      <c r="U91" s="73"/>
    </row>
    <row r="92" spans="1:21" x14ac:dyDescent="0.25">
      <c r="A92" s="193">
        <f t="shared" si="10"/>
        <v>75</v>
      </c>
      <c r="B92" s="107">
        <f t="shared" si="11"/>
        <v>75</v>
      </c>
      <c r="C92" s="53" t="s">
        <v>108</v>
      </c>
      <c r="D92" s="53" t="s">
        <v>150</v>
      </c>
      <c r="E92" s="62">
        <f t="shared" si="9"/>
        <v>2008071.8906700001</v>
      </c>
      <c r="F92" s="55">
        <v>0</v>
      </c>
      <c r="G92" s="55">
        <v>0</v>
      </c>
      <c r="H92" s="55">
        <v>0</v>
      </c>
      <c r="I92" s="55">
        <v>0</v>
      </c>
      <c r="J92" s="55">
        <v>1840005.31</v>
      </c>
      <c r="K92" s="55"/>
      <c r="L92" s="55"/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127902.76</v>
      </c>
      <c r="S92" s="55"/>
      <c r="T92" s="64">
        <v>40163.820670000001</v>
      </c>
      <c r="U92" s="73"/>
    </row>
    <row r="93" spans="1:21" x14ac:dyDescent="0.25">
      <c r="A93" s="193">
        <f t="shared" si="10"/>
        <v>76</v>
      </c>
      <c r="B93" s="107">
        <f t="shared" si="11"/>
        <v>76</v>
      </c>
      <c r="C93" s="53" t="s">
        <v>108</v>
      </c>
      <c r="D93" s="53" t="s">
        <v>151</v>
      </c>
      <c r="E93" s="62">
        <f t="shared" si="9"/>
        <v>2179061.4200000004</v>
      </c>
      <c r="F93" s="55">
        <v>0</v>
      </c>
      <c r="G93" s="55">
        <v>0</v>
      </c>
      <c r="H93" s="55">
        <v>0</v>
      </c>
      <c r="I93" s="55">
        <v>0</v>
      </c>
      <c r="J93" s="55">
        <v>1980515.44</v>
      </c>
      <c r="K93" s="55"/>
      <c r="L93" s="55"/>
      <c r="M93" s="55">
        <v>0</v>
      </c>
      <c r="N93" s="55"/>
      <c r="O93" s="55">
        <v>0</v>
      </c>
      <c r="P93" s="55">
        <v>0</v>
      </c>
      <c r="Q93" s="55"/>
      <c r="R93" s="55">
        <v>123857.99</v>
      </c>
      <c r="S93" s="63"/>
      <c r="T93" s="64">
        <v>74687.990000000005</v>
      </c>
      <c r="U93" s="73"/>
    </row>
    <row r="94" spans="1:21" x14ac:dyDescent="0.25">
      <c r="A94" s="193">
        <f t="shared" si="10"/>
        <v>77</v>
      </c>
      <c r="B94" s="107">
        <f t="shared" si="11"/>
        <v>77</v>
      </c>
      <c r="C94" s="53" t="s">
        <v>108</v>
      </c>
      <c r="D94" s="53" t="s">
        <v>153</v>
      </c>
      <c r="E94" s="62">
        <f t="shared" si="9"/>
        <v>856186.02</v>
      </c>
      <c r="F94" s="55">
        <v>0</v>
      </c>
      <c r="G94" s="55">
        <v>0</v>
      </c>
      <c r="H94" s="55">
        <v>0</v>
      </c>
      <c r="I94" s="55">
        <v>0</v>
      </c>
      <c r="J94" s="55">
        <v>856186.02</v>
      </c>
      <c r="K94" s="55"/>
      <c r="L94" s="55"/>
      <c r="M94" s="55">
        <v>0</v>
      </c>
      <c r="N94" s="55">
        <v>0</v>
      </c>
      <c r="O94" s="55">
        <v>0</v>
      </c>
      <c r="P94" s="55"/>
      <c r="Q94" s="55"/>
      <c r="R94" s="55"/>
      <c r="S94" s="63"/>
      <c r="T94" s="64"/>
      <c r="U94" s="73"/>
    </row>
    <row r="95" spans="1:21" x14ac:dyDescent="0.25">
      <c r="A95" s="193">
        <f t="shared" si="10"/>
        <v>78</v>
      </c>
      <c r="B95" s="107">
        <f t="shared" si="11"/>
        <v>78</v>
      </c>
      <c r="C95" s="53" t="s">
        <v>108</v>
      </c>
      <c r="D95" s="53" t="s">
        <v>154</v>
      </c>
      <c r="E95" s="62">
        <f t="shared" si="9"/>
        <v>2296257.4311860004</v>
      </c>
      <c r="F95" s="55">
        <v>0</v>
      </c>
      <c r="G95" s="55">
        <v>0</v>
      </c>
      <c r="H95" s="55"/>
      <c r="I95" s="55">
        <v>0</v>
      </c>
      <c r="J95" s="55">
        <v>2082908.19</v>
      </c>
      <c r="K95" s="55"/>
      <c r="L95" s="55"/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199499.01</v>
      </c>
      <c r="S95" s="63">
        <v>2000</v>
      </c>
      <c r="T95" s="64">
        <v>11850.231186000001</v>
      </c>
      <c r="U95" s="73"/>
    </row>
    <row r="96" spans="1:21" x14ac:dyDescent="0.25">
      <c r="A96" s="193">
        <f t="shared" si="10"/>
        <v>79</v>
      </c>
      <c r="B96" s="107">
        <f t="shared" si="11"/>
        <v>79</v>
      </c>
      <c r="C96" s="53" t="s">
        <v>108</v>
      </c>
      <c r="D96" s="53" t="s">
        <v>155</v>
      </c>
      <c r="E96" s="62">
        <f t="shared" si="9"/>
        <v>16801922.47724456</v>
      </c>
      <c r="F96" s="55">
        <v>8268601.6299999999</v>
      </c>
      <c r="G96" s="55"/>
      <c r="H96" s="55">
        <v>3198417.38</v>
      </c>
      <c r="I96" s="55">
        <v>2797224.34</v>
      </c>
      <c r="J96" s="55"/>
      <c r="K96" s="55"/>
      <c r="L96" s="55"/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1945255.4768000001</v>
      </c>
      <c r="S96" s="63">
        <v>203313.06280000001</v>
      </c>
      <c r="T96" s="64">
        <v>389110.58764455997</v>
      </c>
      <c r="U96" s="73"/>
    </row>
    <row r="97" spans="1:21" x14ac:dyDescent="0.25">
      <c r="A97" s="193">
        <f t="shared" si="10"/>
        <v>80</v>
      </c>
      <c r="B97" s="107">
        <f t="shared" si="11"/>
        <v>80</v>
      </c>
      <c r="C97" s="53" t="s">
        <v>108</v>
      </c>
      <c r="D97" s="53" t="s">
        <v>156</v>
      </c>
      <c r="E97" s="62">
        <f t="shared" si="9"/>
        <v>6920739.4009156777</v>
      </c>
      <c r="F97" s="55">
        <v>0</v>
      </c>
      <c r="G97" s="55"/>
      <c r="H97" s="55">
        <v>3491728.21</v>
      </c>
      <c r="I97" s="55"/>
      <c r="J97" s="55"/>
      <c r="K97" s="55"/>
      <c r="L97" s="55"/>
      <c r="M97" s="55">
        <v>0</v>
      </c>
      <c r="N97" s="55">
        <v>0</v>
      </c>
      <c r="O97" s="55">
        <v>0</v>
      </c>
      <c r="P97" s="55">
        <v>0</v>
      </c>
      <c r="Q97" s="55"/>
      <c r="R97" s="55">
        <v>2595059.9045922202</v>
      </c>
      <c r="S97" s="63">
        <v>223901.30645922199</v>
      </c>
      <c r="T97" s="64">
        <v>610049.97986423504</v>
      </c>
      <c r="U97" s="73"/>
    </row>
    <row r="98" spans="1:21" x14ac:dyDescent="0.25">
      <c r="A98" s="193">
        <f t="shared" si="10"/>
        <v>81</v>
      </c>
      <c r="B98" s="107">
        <f t="shared" si="11"/>
        <v>81</v>
      </c>
      <c r="C98" s="53" t="s">
        <v>108</v>
      </c>
      <c r="D98" s="53" t="s">
        <v>157</v>
      </c>
      <c r="E98" s="62">
        <f t="shared" si="9"/>
        <v>10029177.534309041</v>
      </c>
      <c r="F98" s="55">
        <v>2770302.43</v>
      </c>
      <c r="G98" s="55"/>
      <c r="H98" s="71"/>
      <c r="I98" s="55"/>
      <c r="J98" s="55"/>
      <c r="K98" s="55"/>
      <c r="L98" s="55"/>
      <c r="M98" s="55">
        <v>0</v>
      </c>
      <c r="N98" s="55">
        <v>6779379.8200000003</v>
      </c>
      <c r="O98" s="55">
        <v>0</v>
      </c>
      <c r="P98" s="55">
        <v>0</v>
      </c>
      <c r="Q98" s="55">
        <v>0</v>
      </c>
      <c r="R98" s="55">
        <v>216012.79999999999</v>
      </c>
      <c r="S98" s="63">
        <v>24000</v>
      </c>
      <c r="T98" s="64">
        <v>239482.48430904001</v>
      </c>
      <c r="U98" s="73"/>
    </row>
    <row r="99" spans="1:21" x14ac:dyDescent="0.25">
      <c r="A99" s="193">
        <f t="shared" si="10"/>
        <v>82</v>
      </c>
      <c r="B99" s="107">
        <f t="shared" si="11"/>
        <v>82</v>
      </c>
      <c r="C99" s="53" t="s">
        <v>108</v>
      </c>
      <c r="D99" s="53" t="s">
        <v>158</v>
      </c>
      <c r="E99" s="62">
        <f t="shared" si="9"/>
        <v>5379408.0875821002</v>
      </c>
      <c r="F99" s="55">
        <v>1643046.08</v>
      </c>
      <c r="G99" s="55"/>
      <c r="H99" s="71"/>
      <c r="I99" s="55"/>
      <c r="J99" s="55"/>
      <c r="K99" s="55"/>
      <c r="L99" s="55"/>
      <c r="M99" s="55">
        <v>0</v>
      </c>
      <c r="N99" s="55">
        <v>3461614.25</v>
      </c>
      <c r="O99" s="55">
        <v>0</v>
      </c>
      <c r="P99" s="55">
        <v>0</v>
      </c>
      <c r="Q99" s="55">
        <v>0</v>
      </c>
      <c r="R99" s="55">
        <v>156962.18</v>
      </c>
      <c r="S99" s="63">
        <v>24000</v>
      </c>
      <c r="T99" s="64">
        <v>93785.577582099999</v>
      </c>
      <c r="U99" s="73"/>
    </row>
    <row r="100" spans="1:21" x14ac:dyDescent="0.25">
      <c r="A100" s="193">
        <f t="shared" si="10"/>
        <v>83</v>
      </c>
      <c r="B100" s="107">
        <f t="shared" si="11"/>
        <v>83</v>
      </c>
      <c r="C100" s="53" t="s">
        <v>108</v>
      </c>
      <c r="D100" s="53" t="s">
        <v>159</v>
      </c>
      <c r="E100" s="62">
        <f t="shared" si="9"/>
        <v>3305142.0224692798</v>
      </c>
      <c r="F100" s="55"/>
      <c r="G100" s="55"/>
      <c r="H100" s="71">
        <v>417598.24</v>
      </c>
      <c r="I100" s="55"/>
      <c r="J100" s="55"/>
      <c r="K100" s="55"/>
      <c r="L100" s="55"/>
      <c r="M100" s="55">
        <v>0</v>
      </c>
      <c r="N100" s="55">
        <v>2705657.8</v>
      </c>
      <c r="O100" s="55">
        <v>0</v>
      </c>
      <c r="P100" s="55">
        <v>0</v>
      </c>
      <c r="Q100" s="55">
        <v>0</v>
      </c>
      <c r="R100" s="55"/>
      <c r="S100" s="63"/>
      <c r="T100" s="64">
        <v>181885.98246927999</v>
      </c>
      <c r="U100" s="73"/>
    </row>
    <row r="101" spans="1:21" x14ac:dyDescent="0.25">
      <c r="A101" s="193">
        <f t="shared" si="10"/>
        <v>84</v>
      </c>
      <c r="B101" s="107">
        <f t="shared" si="11"/>
        <v>84</v>
      </c>
      <c r="C101" s="53" t="s">
        <v>108</v>
      </c>
      <c r="D101" s="53" t="s">
        <v>160</v>
      </c>
      <c r="E101" s="62">
        <f t="shared" si="9"/>
        <v>11237171.892672002</v>
      </c>
      <c r="F101" s="55">
        <v>6273586.1500000004</v>
      </c>
      <c r="G101" s="55"/>
      <c r="H101" s="71">
        <v>1824432.9</v>
      </c>
      <c r="I101" s="55">
        <v>2750949.97</v>
      </c>
      <c r="J101" s="55"/>
      <c r="K101" s="55"/>
      <c r="L101" s="55"/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75835.89</v>
      </c>
      <c r="S101" s="63">
        <v>18000</v>
      </c>
      <c r="T101" s="64">
        <v>294366.98267200001</v>
      </c>
      <c r="U101" s="73"/>
    </row>
    <row r="102" spans="1:21" x14ac:dyDescent="0.25">
      <c r="A102" s="193">
        <f t="shared" si="10"/>
        <v>85</v>
      </c>
      <c r="B102" s="107">
        <f t="shared" si="11"/>
        <v>85</v>
      </c>
      <c r="C102" s="53" t="s">
        <v>108</v>
      </c>
      <c r="D102" s="53" t="s">
        <v>161</v>
      </c>
      <c r="E102" s="62">
        <f t="shared" si="9"/>
        <v>11195845.836039999</v>
      </c>
      <c r="F102" s="55">
        <v>6230360.1900000004</v>
      </c>
      <c r="G102" s="55"/>
      <c r="H102" s="71">
        <v>1824432.9</v>
      </c>
      <c r="I102" s="55">
        <v>2756248.99</v>
      </c>
      <c r="J102" s="55"/>
      <c r="K102" s="55"/>
      <c r="L102" s="55"/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75653.789999999994</v>
      </c>
      <c r="S102" s="63">
        <v>18000</v>
      </c>
      <c r="T102" s="64">
        <v>291149.96604000003</v>
      </c>
      <c r="U102" s="73"/>
    </row>
    <row r="103" spans="1:21" x14ac:dyDescent="0.25">
      <c r="A103" s="193">
        <f t="shared" si="10"/>
        <v>86</v>
      </c>
      <c r="B103" s="107">
        <f t="shared" si="11"/>
        <v>86</v>
      </c>
      <c r="C103" s="53" t="s">
        <v>108</v>
      </c>
      <c r="D103" s="53" t="s">
        <v>162</v>
      </c>
      <c r="E103" s="62">
        <f t="shared" si="9"/>
        <v>9426184.9459980018</v>
      </c>
      <c r="F103" s="55">
        <v>6321167.0899999999</v>
      </c>
      <c r="G103" s="55"/>
      <c r="H103" s="71"/>
      <c r="I103" s="55">
        <v>2717347.73</v>
      </c>
      <c r="J103" s="55"/>
      <c r="K103" s="55"/>
      <c r="L103" s="55"/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75730.05</v>
      </c>
      <c r="S103" s="63">
        <v>18000</v>
      </c>
      <c r="T103" s="64">
        <v>293940.07599799999</v>
      </c>
      <c r="U103" s="73"/>
    </row>
    <row r="104" spans="1:21" x14ac:dyDescent="0.25">
      <c r="A104" s="193">
        <f t="shared" si="10"/>
        <v>87</v>
      </c>
      <c r="B104" s="107">
        <f t="shared" si="11"/>
        <v>87</v>
      </c>
      <c r="C104" s="53" t="s">
        <v>108</v>
      </c>
      <c r="D104" s="53" t="s">
        <v>163</v>
      </c>
      <c r="E104" s="62">
        <f t="shared" si="9"/>
        <v>1102560.24537608</v>
      </c>
      <c r="F104" s="55"/>
      <c r="H104" s="71">
        <v>642270.27</v>
      </c>
      <c r="I104" s="55"/>
      <c r="J104" s="55"/>
      <c r="K104" s="55"/>
      <c r="L104" s="55"/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352588.91</v>
      </c>
      <c r="S104" s="63">
        <v>24000</v>
      </c>
      <c r="T104" s="64">
        <v>83701.065376080005</v>
      </c>
      <c r="U104" s="73"/>
    </row>
    <row r="105" spans="1:21" x14ac:dyDescent="0.25">
      <c r="A105" s="193">
        <f t="shared" si="10"/>
        <v>88</v>
      </c>
      <c r="B105" s="107">
        <f t="shared" si="11"/>
        <v>88</v>
      </c>
      <c r="C105" s="53" t="s">
        <v>108</v>
      </c>
      <c r="D105" s="53" t="s">
        <v>164</v>
      </c>
      <c r="E105" s="62">
        <f t="shared" si="9"/>
        <v>2251928.7114039203</v>
      </c>
      <c r="F105" s="55"/>
      <c r="G105" s="55">
        <v>588065.09</v>
      </c>
      <c r="H105" s="71"/>
      <c r="I105" s="55">
        <v>500447.33</v>
      </c>
      <c r="J105" s="55">
        <v>469911.83</v>
      </c>
      <c r="K105" s="55"/>
      <c r="L105" s="55"/>
      <c r="M105" s="55">
        <v>0</v>
      </c>
      <c r="N105" s="55"/>
      <c r="O105" s="55">
        <v>0</v>
      </c>
      <c r="P105" s="55">
        <v>0</v>
      </c>
      <c r="Q105" s="55">
        <v>0</v>
      </c>
      <c r="R105" s="55">
        <v>513326.799</v>
      </c>
      <c r="S105" s="63">
        <v>73858.718200000003</v>
      </c>
      <c r="T105" s="64">
        <v>106318.94420391999</v>
      </c>
      <c r="U105" s="73"/>
    </row>
    <row r="106" spans="1:21" x14ac:dyDescent="0.25">
      <c r="A106" s="193">
        <f t="shared" si="10"/>
        <v>89</v>
      </c>
      <c r="B106" s="107">
        <f t="shared" si="11"/>
        <v>89</v>
      </c>
      <c r="C106" s="53" t="s">
        <v>108</v>
      </c>
      <c r="D106" s="53" t="s">
        <v>165</v>
      </c>
      <c r="E106" s="62">
        <f t="shared" si="9"/>
        <v>1618117.19564</v>
      </c>
      <c r="F106" s="55"/>
      <c r="G106" s="55"/>
      <c r="H106" s="71"/>
      <c r="I106" s="55"/>
      <c r="J106" s="55">
        <v>1092251.81</v>
      </c>
      <c r="K106" s="55"/>
      <c r="L106" s="55"/>
      <c r="M106" s="55"/>
      <c r="N106" s="55"/>
      <c r="O106" s="55">
        <v>0</v>
      </c>
      <c r="P106" s="55">
        <v>0</v>
      </c>
      <c r="Q106" s="55">
        <v>0</v>
      </c>
      <c r="R106" s="55">
        <v>501699.38</v>
      </c>
      <c r="S106" s="63"/>
      <c r="T106" s="64">
        <v>24166.005639999999</v>
      </c>
      <c r="U106" s="73"/>
    </row>
    <row r="107" spans="1:21" x14ac:dyDescent="0.25">
      <c r="A107" s="193">
        <f t="shared" si="10"/>
        <v>90</v>
      </c>
      <c r="B107" s="107">
        <f t="shared" si="11"/>
        <v>90</v>
      </c>
      <c r="C107" s="53" t="s">
        <v>108</v>
      </c>
      <c r="D107" s="53" t="s">
        <v>166</v>
      </c>
      <c r="E107" s="62">
        <f t="shared" si="9"/>
        <v>20909986.949686639</v>
      </c>
      <c r="F107" s="55"/>
      <c r="G107" s="55"/>
      <c r="H107" s="71"/>
      <c r="I107" s="55"/>
      <c r="J107" s="55"/>
      <c r="K107" s="55"/>
      <c r="L107" s="55"/>
      <c r="M107" s="55"/>
      <c r="N107" s="55">
        <v>8833594.1600000001</v>
      </c>
      <c r="O107" s="55">
        <v>0</v>
      </c>
      <c r="P107" s="55">
        <v>11280169.18</v>
      </c>
      <c r="R107" s="55">
        <v>157634.31</v>
      </c>
      <c r="S107" s="63">
        <v>24000</v>
      </c>
      <c r="T107" s="64">
        <v>614589.29968664004</v>
      </c>
      <c r="U107" s="73"/>
    </row>
    <row r="108" spans="1:21" x14ac:dyDescent="0.25">
      <c r="A108" s="193">
        <f t="shared" si="10"/>
        <v>91</v>
      </c>
      <c r="B108" s="107">
        <f t="shared" si="11"/>
        <v>91</v>
      </c>
      <c r="C108" s="53" t="s">
        <v>108</v>
      </c>
      <c r="D108" s="53" t="s">
        <v>167</v>
      </c>
      <c r="E108" s="62">
        <f t="shared" si="9"/>
        <v>27714212.62284708</v>
      </c>
      <c r="F108" s="55"/>
      <c r="H108" s="71">
        <v>3146864.52</v>
      </c>
      <c r="I108" s="55">
        <v>2896787.04</v>
      </c>
      <c r="J108" s="55">
        <v>0</v>
      </c>
      <c r="K108" s="55"/>
      <c r="L108" s="55"/>
      <c r="M108" s="55">
        <v>0</v>
      </c>
      <c r="N108" s="55">
        <v>9859124.0999999996</v>
      </c>
      <c r="O108" s="55">
        <v>0</v>
      </c>
      <c r="P108" s="55">
        <v>6508599.5899999999</v>
      </c>
      <c r="Q108" s="55">
        <v>3276300</v>
      </c>
      <c r="R108" s="55">
        <v>434057.5</v>
      </c>
      <c r="S108" s="63">
        <v>24000</v>
      </c>
      <c r="T108" s="64">
        <v>1568479.87284708</v>
      </c>
      <c r="U108" s="73"/>
    </row>
    <row r="109" spans="1:21" x14ac:dyDescent="0.25">
      <c r="A109" s="193">
        <f t="shared" si="10"/>
        <v>92</v>
      </c>
      <c r="B109" s="107">
        <f t="shared" si="11"/>
        <v>92</v>
      </c>
      <c r="C109" s="53" t="s">
        <v>108</v>
      </c>
      <c r="D109" s="53" t="s">
        <v>168</v>
      </c>
      <c r="E109" s="62">
        <f t="shared" si="9"/>
        <v>14611197.90710892</v>
      </c>
      <c r="F109" s="55"/>
      <c r="H109" s="71">
        <v>2731732.82</v>
      </c>
      <c r="J109" s="55">
        <v>0</v>
      </c>
      <c r="K109" s="55"/>
      <c r="L109" s="55"/>
      <c r="M109" s="55">
        <v>0</v>
      </c>
      <c r="N109" s="55">
        <v>9356498.1500000004</v>
      </c>
      <c r="O109" s="55">
        <v>0</v>
      </c>
      <c r="P109" s="55"/>
      <c r="Q109" s="55">
        <v>1381241.93</v>
      </c>
      <c r="R109" s="55">
        <v>311041.28110000002</v>
      </c>
      <c r="S109" s="63">
        <v>45051.6011</v>
      </c>
      <c r="T109" s="64">
        <v>785632.12490892003</v>
      </c>
      <c r="U109" s="73"/>
    </row>
    <row r="110" spans="1:21" x14ac:dyDescent="0.25">
      <c r="A110" s="193">
        <f t="shared" si="10"/>
        <v>93</v>
      </c>
      <c r="B110" s="107">
        <f t="shared" si="11"/>
        <v>93</v>
      </c>
      <c r="C110" s="53" t="s">
        <v>108</v>
      </c>
      <c r="D110" s="53" t="s">
        <v>169</v>
      </c>
      <c r="E110" s="62">
        <f t="shared" si="9"/>
        <v>1092667.3</v>
      </c>
      <c r="F110" s="55">
        <v>0</v>
      </c>
      <c r="G110" s="55">
        <v>0</v>
      </c>
      <c r="H110" s="71">
        <v>0</v>
      </c>
      <c r="I110" s="55">
        <v>0</v>
      </c>
      <c r="J110" s="55">
        <v>1092667.3</v>
      </c>
      <c r="K110" s="55"/>
      <c r="L110" s="55"/>
      <c r="M110" s="55">
        <v>0</v>
      </c>
      <c r="N110" s="55">
        <v>0</v>
      </c>
      <c r="O110" s="55">
        <v>0</v>
      </c>
      <c r="P110" s="55"/>
      <c r="Q110" s="55">
        <v>0</v>
      </c>
      <c r="R110" s="55"/>
      <c r="S110" s="63"/>
      <c r="T110" s="64"/>
      <c r="U110" s="73"/>
    </row>
    <row r="111" spans="1:21" x14ac:dyDescent="0.25">
      <c r="A111" s="193">
        <f t="shared" si="10"/>
        <v>94</v>
      </c>
      <c r="B111" s="107">
        <f t="shared" si="11"/>
        <v>94</v>
      </c>
      <c r="C111" s="53" t="s">
        <v>108</v>
      </c>
      <c r="D111" s="53" t="s">
        <v>170</v>
      </c>
      <c r="E111" s="62">
        <f t="shared" si="9"/>
        <v>1944736.54</v>
      </c>
      <c r="F111" s="55">
        <v>0</v>
      </c>
      <c r="G111" s="55">
        <v>0</v>
      </c>
      <c r="H111" s="71">
        <v>0</v>
      </c>
      <c r="I111" s="55">
        <v>0</v>
      </c>
      <c r="J111" s="55"/>
      <c r="K111" s="55"/>
      <c r="L111" s="55"/>
      <c r="M111" s="55">
        <v>0</v>
      </c>
      <c r="N111" s="55">
        <v>0</v>
      </c>
      <c r="O111" s="55">
        <v>0</v>
      </c>
      <c r="P111" s="55">
        <v>0</v>
      </c>
      <c r="Q111" s="55">
        <v>1937343.33</v>
      </c>
      <c r="R111" s="55"/>
      <c r="S111" s="63"/>
      <c r="T111" s="64">
        <v>7393.21</v>
      </c>
      <c r="U111" s="73"/>
    </row>
    <row r="112" spans="1:21" x14ac:dyDescent="0.25">
      <c r="A112" s="193">
        <f t="shared" si="10"/>
        <v>95</v>
      </c>
      <c r="B112" s="107">
        <f t="shared" si="11"/>
        <v>95</v>
      </c>
      <c r="C112" s="53" t="s">
        <v>108</v>
      </c>
      <c r="D112" s="53" t="s">
        <v>171</v>
      </c>
      <c r="E112" s="62">
        <f t="shared" si="9"/>
        <v>3493023.9110059999</v>
      </c>
      <c r="F112" s="55">
        <v>0</v>
      </c>
      <c r="G112" s="55">
        <v>0</v>
      </c>
      <c r="H112" s="71">
        <v>0</v>
      </c>
      <c r="I112" s="55">
        <v>0</v>
      </c>
      <c r="J112" s="55">
        <v>0</v>
      </c>
      <c r="K112" s="55"/>
      <c r="L112" s="55"/>
      <c r="M112" s="55">
        <v>0</v>
      </c>
      <c r="N112" s="55">
        <v>3264065.71</v>
      </c>
      <c r="O112" s="55">
        <v>0</v>
      </c>
      <c r="P112" s="55">
        <v>0</v>
      </c>
      <c r="Q112" s="55">
        <v>0</v>
      </c>
      <c r="R112" s="55">
        <v>122084.94</v>
      </c>
      <c r="S112" s="55">
        <v>24000</v>
      </c>
      <c r="T112" s="64">
        <v>82873.261006000001</v>
      </c>
      <c r="U112" s="73"/>
    </row>
    <row r="113" spans="1:22" x14ac:dyDescent="0.25">
      <c r="A113" s="193">
        <f t="shared" si="10"/>
        <v>96</v>
      </c>
      <c r="B113" s="107">
        <f t="shared" si="11"/>
        <v>96</v>
      </c>
      <c r="C113" s="53" t="s">
        <v>108</v>
      </c>
      <c r="D113" s="53" t="s">
        <v>172</v>
      </c>
      <c r="E113" s="62">
        <f t="shared" si="9"/>
        <v>8609691.4240093995</v>
      </c>
      <c r="F113" s="55">
        <v>0</v>
      </c>
      <c r="G113" s="55">
        <v>0</v>
      </c>
      <c r="H113" s="71">
        <v>0</v>
      </c>
      <c r="I113" s="55">
        <v>0</v>
      </c>
      <c r="J113" s="55">
        <v>0</v>
      </c>
      <c r="K113" s="55"/>
      <c r="L113" s="55"/>
      <c r="M113" s="55">
        <v>0</v>
      </c>
      <c r="N113" s="55">
        <v>7551202.7000000002</v>
      </c>
      <c r="O113" s="55">
        <v>0</v>
      </c>
      <c r="P113" s="55">
        <v>0</v>
      </c>
      <c r="Q113" s="55">
        <v>0</v>
      </c>
      <c r="R113" s="55">
        <v>852132.39210000006</v>
      </c>
      <c r="S113" s="63">
        <v>24000</v>
      </c>
      <c r="T113" s="64">
        <v>182356.3319094</v>
      </c>
      <c r="U113" s="73"/>
    </row>
    <row r="114" spans="1:22" x14ac:dyDescent="0.25">
      <c r="A114" s="193">
        <f t="shared" si="10"/>
        <v>97</v>
      </c>
      <c r="B114" s="107">
        <f t="shared" si="11"/>
        <v>97</v>
      </c>
      <c r="C114" s="53" t="s">
        <v>108</v>
      </c>
      <c r="D114" s="53" t="s">
        <v>173</v>
      </c>
      <c r="E114" s="62">
        <f t="shared" ref="E114:E145" si="12">SUBTOTAL(9, F114:T114)</f>
        <v>18469307.326755162</v>
      </c>
      <c r="G114" s="55"/>
      <c r="H114" s="72"/>
      <c r="J114" s="55"/>
      <c r="K114" s="55"/>
      <c r="L114" s="55"/>
      <c r="M114" s="55">
        <v>0</v>
      </c>
      <c r="N114" s="55">
        <v>12780973.57</v>
      </c>
      <c r="O114" s="55">
        <v>0</v>
      </c>
      <c r="P114" s="55"/>
      <c r="Q114" s="55"/>
      <c r="R114" s="55">
        <v>4341944.4309</v>
      </c>
      <c r="S114" s="63">
        <v>461523.41970000003</v>
      </c>
      <c r="T114" s="64">
        <v>884865.90615516005</v>
      </c>
      <c r="U114" s="73"/>
    </row>
    <row r="115" spans="1:22" x14ac:dyDescent="0.25">
      <c r="A115" s="193">
        <f t="shared" ref="A115:A146" si="13">+A114+1</f>
        <v>98</v>
      </c>
      <c r="B115" s="107">
        <f t="shared" ref="B115:B146" si="14">+B114+1</f>
        <v>98</v>
      </c>
      <c r="C115" s="53" t="s">
        <v>108</v>
      </c>
      <c r="D115" s="53" t="s">
        <v>174</v>
      </c>
      <c r="E115" s="62">
        <f t="shared" si="12"/>
        <v>24274955.771498859</v>
      </c>
      <c r="F115" s="55"/>
      <c r="G115" s="55"/>
      <c r="H115" s="71"/>
      <c r="I115" s="55"/>
      <c r="J115" s="55"/>
      <c r="K115" s="55"/>
      <c r="L115" s="55"/>
      <c r="M115" s="55"/>
      <c r="N115" s="55"/>
      <c r="O115" s="55">
        <v>0</v>
      </c>
      <c r="P115" s="55">
        <v>22920438.079999998</v>
      </c>
      <c r="Q115" s="55"/>
      <c r="R115" s="55">
        <v>237586.77</v>
      </c>
      <c r="S115" s="63"/>
      <c r="T115" s="64">
        <v>1116930.92149886</v>
      </c>
      <c r="U115" s="73"/>
    </row>
    <row r="116" spans="1:22" x14ac:dyDescent="0.25">
      <c r="A116" s="193">
        <f t="shared" si="13"/>
        <v>99</v>
      </c>
      <c r="B116" s="107">
        <f t="shared" si="14"/>
        <v>99</v>
      </c>
      <c r="C116" s="53" t="s">
        <v>108</v>
      </c>
      <c r="D116" s="53" t="s">
        <v>175</v>
      </c>
      <c r="E116" s="62">
        <f t="shared" si="12"/>
        <v>24384542.330598522</v>
      </c>
      <c r="F116" s="55"/>
      <c r="G116" s="55"/>
      <c r="H116" s="71"/>
      <c r="I116" s="55"/>
      <c r="J116" s="55"/>
      <c r="K116" s="55"/>
      <c r="L116" s="55"/>
      <c r="M116" s="55"/>
      <c r="N116" s="55"/>
      <c r="O116" s="55">
        <v>0</v>
      </c>
      <c r="P116" s="55">
        <v>23040371.91</v>
      </c>
      <c r="Q116" s="55"/>
      <c r="R116" s="55">
        <v>237124.23</v>
      </c>
      <c r="S116" s="63"/>
      <c r="T116" s="64">
        <v>1107046.19059852</v>
      </c>
      <c r="U116" s="73"/>
    </row>
    <row r="117" spans="1:22" x14ac:dyDescent="0.25">
      <c r="A117" s="193">
        <f t="shared" si="13"/>
        <v>100</v>
      </c>
      <c r="B117" s="107">
        <f t="shared" si="14"/>
        <v>100</v>
      </c>
      <c r="C117" s="53" t="s">
        <v>108</v>
      </c>
      <c r="D117" s="53" t="s">
        <v>176</v>
      </c>
      <c r="E117" s="62">
        <f t="shared" si="12"/>
        <v>1151789.168633756</v>
      </c>
      <c r="F117" s="55"/>
      <c r="G117" s="55"/>
      <c r="H117" s="71">
        <v>655531.02</v>
      </c>
      <c r="I117" s="55"/>
      <c r="J117" s="55"/>
      <c r="K117" s="55"/>
      <c r="L117" s="55"/>
      <c r="M117" s="55"/>
      <c r="N117" s="55"/>
      <c r="O117" s="55"/>
      <c r="P117" s="55"/>
      <c r="R117" s="55"/>
      <c r="S117" s="63"/>
      <c r="T117" s="64">
        <v>496258.14863375598</v>
      </c>
      <c r="U117" s="73"/>
    </row>
    <row r="118" spans="1:22" x14ac:dyDescent="0.25">
      <c r="A118" s="193">
        <f t="shared" si="13"/>
        <v>101</v>
      </c>
      <c r="B118" s="107">
        <f t="shared" si="14"/>
        <v>101</v>
      </c>
      <c r="C118" s="53" t="s">
        <v>108</v>
      </c>
      <c r="D118" s="53" t="s">
        <v>177</v>
      </c>
      <c r="E118" s="62">
        <f t="shared" si="12"/>
        <v>8825748.4216627013</v>
      </c>
      <c r="F118" s="55"/>
      <c r="G118" s="55">
        <v>1337737.05</v>
      </c>
      <c r="H118" s="71">
        <v>613148.77</v>
      </c>
      <c r="I118" s="55">
        <v>943239.55</v>
      </c>
      <c r="J118" s="55"/>
      <c r="K118" s="55"/>
      <c r="L118" s="55"/>
      <c r="M118" s="55">
        <v>0</v>
      </c>
      <c r="N118" s="55">
        <v>3170792.72</v>
      </c>
      <c r="O118" s="55">
        <v>0</v>
      </c>
      <c r="P118" s="55">
        <v>0</v>
      </c>
      <c r="Q118" s="55">
        <v>0</v>
      </c>
      <c r="R118" s="55">
        <v>2090379.2509000001</v>
      </c>
      <c r="S118" s="63">
        <v>229328.92860000001</v>
      </c>
      <c r="T118" s="64">
        <v>441122.15216270002</v>
      </c>
      <c r="U118" s="73"/>
    </row>
    <row r="119" spans="1:22" x14ac:dyDescent="0.25">
      <c r="A119" s="193">
        <f t="shared" si="13"/>
        <v>102</v>
      </c>
      <c r="B119" s="107">
        <f t="shared" si="14"/>
        <v>102</v>
      </c>
      <c r="C119" s="53" t="s">
        <v>108</v>
      </c>
      <c r="D119" s="53" t="s">
        <v>178</v>
      </c>
      <c r="E119" s="62">
        <f t="shared" si="12"/>
        <v>3582145.82</v>
      </c>
      <c r="F119" s="55">
        <v>2763321.73</v>
      </c>
      <c r="G119" s="55"/>
      <c r="H119" s="71"/>
      <c r="I119" s="55"/>
      <c r="J119" s="55"/>
      <c r="K119" s="55">
        <v>0</v>
      </c>
      <c r="L119" s="55"/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788750.73</v>
      </c>
      <c r="S119" s="63"/>
      <c r="T119" s="64">
        <v>30073.360000000001</v>
      </c>
      <c r="U119" s="73"/>
    </row>
    <row r="120" spans="1:22" x14ac:dyDescent="0.25">
      <c r="A120" s="193">
        <f t="shared" si="13"/>
        <v>103</v>
      </c>
      <c r="B120" s="107">
        <f t="shared" si="14"/>
        <v>103</v>
      </c>
      <c r="C120" s="53" t="s">
        <v>108</v>
      </c>
      <c r="D120" s="53" t="s">
        <v>179</v>
      </c>
      <c r="E120" s="62">
        <f t="shared" si="12"/>
        <v>1013056.9700000001</v>
      </c>
      <c r="F120" s="55">
        <v>0</v>
      </c>
      <c r="G120" s="55">
        <v>0</v>
      </c>
      <c r="H120" s="71">
        <v>0</v>
      </c>
      <c r="I120" s="55">
        <v>0</v>
      </c>
      <c r="J120" s="55">
        <v>1007223.29</v>
      </c>
      <c r="K120" s="55"/>
      <c r="L120" s="55"/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/>
      <c r="S120" s="63"/>
      <c r="T120" s="64">
        <v>5833.68</v>
      </c>
      <c r="U120" s="73"/>
    </row>
    <row r="121" spans="1:22" x14ac:dyDescent="0.25">
      <c r="A121" s="193">
        <f t="shared" si="13"/>
        <v>104</v>
      </c>
      <c r="B121" s="107">
        <f t="shared" si="14"/>
        <v>104</v>
      </c>
      <c r="C121" s="53" t="s">
        <v>108</v>
      </c>
      <c r="D121" s="53" t="s">
        <v>180</v>
      </c>
      <c r="E121" s="62">
        <f t="shared" si="12"/>
        <v>12649312.870907839</v>
      </c>
      <c r="F121" s="55">
        <v>3644506.14</v>
      </c>
      <c r="G121" s="55"/>
      <c r="H121" s="71">
        <v>914465.47</v>
      </c>
      <c r="I121" s="55"/>
      <c r="J121" s="55">
        <v>0</v>
      </c>
      <c r="K121" s="55"/>
      <c r="L121" s="55"/>
      <c r="M121" s="55">
        <v>0</v>
      </c>
      <c r="N121" s="55">
        <v>3794408.23</v>
      </c>
      <c r="O121" s="55">
        <v>0</v>
      </c>
      <c r="P121" s="55">
        <v>0</v>
      </c>
      <c r="Q121" s="55">
        <v>3615223.51</v>
      </c>
      <c r="R121" s="55">
        <v>160007.0122</v>
      </c>
      <c r="S121" s="63">
        <v>37048.782200000001</v>
      </c>
      <c r="T121" s="64">
        <v>483653.72650783998</v>
      </c>
      <c r="U121" s="73"/>
    </row>
    <row r="122" spans="1:22" x14ac:dyDescent="0.25">
      <c r="A122" s="193">
        <f t="shared" si="13"/>
        <v>105</v>
      </c>
      <c r="B122" s="107">
        <f t="shared" si="14"/>
        <v>105</v>
      </c>
      <c r="C122" s="53" t="s">
        <v>108</v>
      </c>
      <c r="D122" s="53" t="s">
        <v>182</v>
      </c>
      <c r="E122" s="62">
        <f t="shared" si="12"/>
        <v>56109594.188878097</v>
      </c>
      <c r="F122" s="55"/>
      <c r="G122" s="55"/>
      <c r="H122" s="72"/>
      <c r="I122" s="55"/>
      <c r="J122" s="55"/>
      <c r="K122" s="55"/>
      <c r="L122" s="55"/>
      <c r="M122" s="55"/>
      <c r="N122" s="55">
        <v>14003938.84</v>
      </c>
      <c r="O122" s="55"/>
      <c r="P122" s="55">
        <v>32173395.460000001</v>
      </c>
      <c r="Q122" s="55">
        <v>8022917.0300000003</v>
      </c>
      <c r="R122" s="55">
        <v>228290.3</v>
      </c>
      <c r="S122" s="63"/>
      <c r="T122" s="64">
        <v>1681052.5588781</v>
      </c>
      <c r="U122" s="73"/>
    </row>
    <row r="123" spans="1:22" x14ac:dyDescent="0.25">
      <c r="A123" s="193">
        <f t="shared" si="13"/>
        <v>106</v>
      </c>
      <c r="B123" s="107">
        <f t="shared" si="14"/>
        <v>106</v>
      </c>
      <c r="C123" s="53" t="s">
        <v>108</v>
      </c>
      <c r="D123" s="53" t="s">
        <v>186</v>
      </c>
      <c r="E123" s="62">
        <f t="shared" si="12"/>
        <v>28210776.703030363</v>
      </c>
      <c r="F123" s="55">
        <v>6509238.7699999996</v>
      </c>
      <c r="G123" s="55">
        <v>2319400.21</v>
      </c>
      <c r="H123" s="71">
        <v>3775889.5</v>
      </c>
      <c r="I123" s="55">
        <v>1790627.54</v>
      </c>
      <c r="J123" s="55"/>
      <c r="K123" s="55"/>
      <c r="L123" s="55"/>
      <c r="M123" s="55">
        <v>0</v>
      </c>
      <c r="N123" s="55">
        <v>4646956.9000000004</v>
      </c>
      <c r="O123" s="55">
        <v>0</v>
      </c>
      <c r="P123" s="55">
        <v>5003516.4000000004</v>
      </c>
      <c r="Q123" s="55">
        <v>2513954.87</v>
      </c>
      <c r="R123" s="55"/>
      <c r="S123" s="63"/>
      <c r="T123" s="64">
        <v>1651192.51303036</v>
      </c>
      <c r="U123" s="73"/>
      <c r="V123" s="136"/>
    </row>
    <row r="124" spans="1:22" x14ac:dyDescent="0.25">
      <c r="A124" s="193">
        <f t="shared" si="13"/>
        <v>107</v>
      </c>
      <c r="B124" s="107">
        <f t="shared" si="14"/>
        <v>107</v>
      </c>
      <c r="C124" s="53" t="s">
        <v>108</v>
      </c>
      <c r="D124" s="53" t="s">
        <v>187</v>
      </c>
      <c r="E124" s="62">
        <f t="shared" si="12"/>
        <v>8373368.8852534005</v>
      </c>
      <c r="F124" s="55">
        <v>0</v>
      </c>
      <c r="G124" s="55">
        <v>0</v>
      </c>
      <c r="H124" s="71">
        <v>0</v>
      </c>
      <c r="I124" s="55">
        <v>0</v>
      </c>
      <c r="J124" s="55">
        <v>0</v>
      </c>
      <c r="K124" s="55"/>
      <c r="L124" s="55"/>
      <c r="M124" s="55">
        <v>0</v>
      </c>
      <c r="N124" s="55">
        <v>6528558.9900000002</v>
      </c>
      <c r="O124" s="55">
        <v>0</v>
      </c>
      <c r="P124" s="55">
        <v>0</v>
      </c>
      <c r="Q124" s="55">
        <v>0</v>
      </c>
      <c r="R124" s="55">
        <v>1523817.88</v>
      </c>
      <c r="S124" s="63"/>
      <c r="T124" s="64">
        <v>320992.01525340002</v>
      </c>
      <c r="U124" s="73"/>
    </row>
    <row r="125" spans="1:22" x14ac:dyDescent="0.25">
      <c r="A125" s="193">
        <f t="shared" si="13"/>
        <v>108</v>
      </c>
      <c r="B125" s="107">
        <f t="shared" si="14"/>
        <v>108</v>
      </c>
      <c r="C125" s="53" t="s">
        <v>108</v>
      </c>
      <c r="D125" s="53" t="s">
        <v>188</v>
      </c>
      <c r="E125" s="62">
        <f t="shared" si="12"/>
        <v>8125441.1614079997</v>
      </c>
      <c r="F125" s="55">
        <v>0</v>
      </c>
      <c r="G125" s="55">
        <v>0</v>
      </c>
      <c r="H125" s="71">
        <v>0</v>
      </c>
      <c r="I125" s="55">
        <v>0</v>
      </c>
      <c r="J125" s="55">
        <v>0</v>
      </c>
      <c r="K125" s="55"/>
      <c r="L125" s="55"/>
      <c r="M125" s="55">
        <v>0</v>
      </c>
      <c r="N125" s="55">
        <v>6264359.7599999998</v>
      </c>
      <c r="O125" s="55">
        <v>0</v>
      </c>
      <c r="P125" s="55">
        <v>0</v>
      </c>
      <c r="Q125" s="55">
        <v>0</v>
      </c>
      <c r="R125" s="55">
        <v>1547459.25</v>
      </c>
      <c r="S125" s="63"/>
      <c r="T125" s="64">
        <v>313622.15140799998</v>
      </c>
      <c r="U125" s="73"/>
    </row>
    <row r="126" spans="1:22" x14ac:dyDescent="0.25">
      <c r="A126" s="193">
        <f t="shared" si="13"/>
        <v>109</v>
      </c>
      <c r="B126" s="107">
        <f t="shared" si="14"/>
        <v>109</v>
      </c>
      <c r="C126" s="53" t="s">
        <v>108</v>
      </c>
      <c r="D126" s="53" t="s">
        <v>189</v>
      </c>
      <c r="E126" s="62">
        <f t="shared" si="12"/>
        <v>435458</v>
      </c>
      <c r="F126" s="55">
        <v>0</v>
      </c>
      <c r="G126" s="55">
        <v>0</v>
      </c>
      <c r="H126" s="71">
        <v>0</v>
      </c>
      <c r="I126" s="55">
        <v>0</v>
      </c>
      <c r="J126" s="55">
        <v>435458</v>
      </c>
      <c r="K126" s="55"/>
      <c r="L126" s="55"/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/>
      <c r="S126" s="63"/>
      <c r="T126" s="64"/>
      <c r="U126" s="73"/>
    </row>
    <row r="127" spans="1:22" x14ac:dyDescent="0.25">
      <c r="A127" s="193">
        <f t="shared" si="13"/>
        <v>110</v>
      </c>
      <c r="B127" s="107">
        <f t="shared" si="14"/>
        <v>110</v>
      </c>
      <c r="C127" s="53" t="s">
        <v>108</v>
      </c>
      <c r="D127" s="53" t="s">
        <v>190</v>
      </c>
      <c r="E127" s="62">
        <f t="shared" si="12"/>
        <v>1097504.5</v>
      </c>
      <c r="F127" s="55">
        <v>0</v>
      </c>
      <c r="G127" s="55"/>
      <c r="H127" s="71">
        <v>0</v>
      </c>
      <c r="J127" s="55">
        <v>1097504.5</v>
      </c>
      <c r="K127" s="55"/>
      <c r="L127" s="55"/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/>
      <c r="S127" s="55"/>
      <c r="T127" s="64"/>
      <c r="U127" s="73"/>
    </row>
    <row r="128" spans="1:22" x14ac:dyDescent="0.25">
      <c r="A128" s="193">
        <f t="shared" si="13"/>
        <v>111</v>
      </c>
      <c r="B128" s="107">
        <f t="shared" si="14"/>
        <v>111</v>
      </c>
      <c r="C128" s="53" t="s">
        <v>108</v>
      </c>
      <c r="D128" s="53" t="s">
        <v>191</v>
      </c>
      <c r="E128" s="62">
        <f t="shared" si="12"/>
        <v>678959.93939557998</v>
      </c>
      <c r="F128" s="55"/>
      <c r="G128" s="55"/>
      <c r="H128" s="71"/>
      <c r="I128" s="55"/>
      <c r="J128" s="55">
        <v>500183.41</v>
      </c>
      <c r="K128" s="55"/>
      <c r="L128" s="55"/>
      <c r="M128" s="55">
        <v>0</v>
      </c>
      <c r="N128" s="55">
        <v>0</v>
      </c>
      <c r="O128" s="55">
        <v>0</v>
      </c>
      <c r="P128" s="55"/>
      <c r="Q128" s="55">
        <v>0</v>
      </c>
      <c r="R128" s="55"/>
      <c r="S128" s="63"/>
      <c r="T128" s="64">
        <v>178776.52939558</v>
      </c>
      <c r="U128" s="73"/>
    </row>
    <row r="129" spans="1:21" x14ac:dyDescent="0.25">
      <c r="A129" s="193">
        <f t="shared" si="13"/>
        <v>112</v>
      </c>
      <c r="B129" s="107">
        <f t="shared" si="14"/>
        <v>112</v>
      </c>
      <c r="C129" s="53" t="s">
        <v>108</v>
      </c>
      <c r="D129" s="53" t="s">
        <v>192</v>
      </c>
      <c r="E129" s="62">
        <f t="shared" si="12"/>
        <v>994811.65</v>
      </c>
      <c r="F129" s="55">
        <v>0</v>
      </c>
      <c r="G129" s="55">
        <v>0</v>
      </c>
      <c r="H129" s="71">
        <v>0</v>
      </c>
      <c r="I129" s="55">
        <v>0</v>
      </c>
      <c r="J129" s="55">
        <v>994811.65</v>
      </c>
      <c r="K129" s="55"/>
      <c r="L129" s="55"/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/>
      <c r="S129" s="63"/>
      <c r="T129" s="64"/>
      <c r="U129" s="73"/>
    </row>
    <row r="130" spans="1:21" x14ac:dyDescent="0.25">
      <c r="A130" s="193">
        <f t="shared" si="13"/>
        <v>113</v>
      </c>
      <c r="B130" s="107">
        <f t="shared" si="14"/>
        <v>113</v>
      </c>
      <c r="C130" s="53" t="s">
        <v>108</v>
      </c>
      <c r="D130" s="53" t="s">
        <v>193</v>
      </c>
      <c r="E130" s="62">
        <f t="shared" si="12"/>
        <v>2196546.3422400001</v>
      </c>
      <c r="F130" s="55"/>
      <c r="G130" s="55"/>
      <c r="H130" s="71"/>
      <c r="I130" s="55"/>
      <c r="J130" s="55">
        <v>2104784.6800000002</v>
      </c>
      <c r="K130" s="55"/>
      <c r="L130" s="55"/>
      <c r="M130" s="55">
        <v>0</v>
      </c>
      <c r="N130" s="55">
        <v>0</v>
      </c>
      <c r="O130" s="55"/>
      <c r="P130" s="55"/>
      <c r="Q130" s="55"/>
      <c r="R130" s="55">
        <v>2857.14</v>
      </c>
      <c r="S130" s="63">
        <v>24000</v>
      </c>
      <c r="T130" s="64">
        <v>64904.522239999998</v>
      </c>
      <c r="U130" s="73"/>
    </row>
    <row r="131" spans="1:21" x14ac:dyDescent="0.25">
      <c r="A131" s="193">
        <f t="shared" si="13"/>
        <v>114</v>
      </c>
      <c r="B131" s="107">
        <f t="shared" si="14"/>
        <v>114</v>
      </c>
      <c r="C131" s="53" t="s">
        <v>108</v>
      </c>
      <c r="D131" s="53" t="s">
        <v>194</v>
      </c>
      <c r="E131" s="62">
        <f t="shared" si="12"/>
        <v>22252018.226827998</v>
      </c>
      <c r="F131" s="55"/>
      <c r="G131" s="55"/>
      <c r="H131" s="71"/>
      <c r="I131" s="55"/>
      <c r="J131" s="55"/>
      <c r="K131" s="55"/>
      <c r="L131" s="55"/>
      <c r="M131" s="55">
        <v>0</v>
      </c>
      <c r="N131" s="55"/>
      <c r="O131" s="55">
        <v>0</v>
      </c>
      <c r="P131" s="55">
        <v>21575728.449999999</v>
      </c>
      <c r="Q131" s="55"/>
      <c r="R131" s="55"/>
      <c r="S131" s="63"/>
      <c r="T131" s="64">
        <v>676289.77682799997</v>
      </c>
      <c r="U131" s="73"/>
    </row>
    <row r="132" spans="1:21" x14ac:dyDescent="0.25">
      <c r="A132" s="193">
        <f t="shared" si="13"/>
        <v>115</v>
      </c>
      <c r="B132" s="107">
        <f t="shared" si="14"/>
        <v>115</v>
      </c>
      <c r="C132" s="53" t="s">
        <v>108</v>
      </c>
      <c r="D132" s="53" t="s">
        <v>195</v>
      </c>
      <c r="E132" s="62">
        <f t="shared" si="12"/>
        <v>24178412.226240739</v>
      </c>
      <c r="F132" s="55">
        <v>5305996.59</v>
      </c>
      <c r="H132" s="72"/>
      <c r="J132" s="55"/>
      <c r="K132" s="55"/>
      <c r="L132" s="55"/>
      <c r="M132" s="55">
        <v>0</v>
      </c>
      <c r="N132" s="55">
        <v>4125438.85</v>
      </c>
      <c r="O132" s="55">
        <v>0</v>
      </c>
      <c r="P132" s="55">
        <v>13688562.5</v>
      </c>
      <c r="Q132" s="55"/>
      <c r="R132" s="55"/>
      <c r="S132" s="63"/>
      <c r="T132" s="64">
        <v>1058414.28624074</v>
      </c>
      <c r="U132" s="73"/>
    </row>
    <row r="133" spans="1:21" x14ac:dyDescent="0.25">
      <c r="A133" s="193">
        <f t="shared" si="13"/>
        <v>116</v>
      </c>
      <c r="B133" s="107">
        <f t="shared" si="14"/>
        <v>116</v>
      </c>
      <c r="C133" s="53" t="s">
        <v>108</v>
      </c>
      <c r="D133" s="53" t="s">
        <v>196</v>
      </c>
      <c r="E133" s="62">
        <f t="shared" si="12"/>
        <v>1817380.4565099399</v>
      </c>
      <c r="F133" s="55"/>
      <c r="G133" s="55"/>
      <c r="H133" s="71">
        <v>707768.48</v>
      </c>
      <c r="I133" s="55">
        <v>953897.51</v>
      </c>
      <c r="J133" s="55"/>
      <c r="K133" s="55"/>
      <c r="L133" s="55"/>
      <c r="M133" s="55">
        <v>0</v>
      </c>
      <c r="N133" s="55">
        <v>0</v>
      </c>
      <c r="O133" s="55">
        <v>0</v>
      </c>
      <c r="P133" s="55"/>
      <c r="Q133" s="55">
        <v>0</v>
      </c>
      <c r="R133" s="55"/>
      <c r="S133" s="63"/>
      <c r="T133" s="64">
        <v>155714.46650993999</v>
      </c>
      <c r="U133" s="73"/>
    </row>
    <row r="134" spans="1:21" x14ac:dyDescent="0.25">
      <c r="A134" s="193">
        <f t="shared" si="13"/>
        <v>117</v>
      </c>
      <c r="B134" s="107">
        <f t="shared" si="14"/>
        <v>117</v>
      </c>
      <c r="C134" s="53" t="s">
        <v>197</v>
      </c>
      <c r="D134" s="53" t="s">
        <v>198</v>
      </c>
      <c r="E134" s="62">
        <f t="shared" si="12"/>
        <v>9785218.7020976003</v>
      </c>
      <c r="F134" s="55">
        <v>0</v>
      </c>
      <c r="G134" s="55">
        <v>0</v>
      </c>
      <c r="H134" s="71">
        <v>0</v>
      </c>
      <c r="I134" s="55">
        <v>0</v>
      </c>
      <c r="J134" s="55">
        <v>0</v>
      </c>
      <c r="K134" s="55"/>
      <c r="L134" s="55"/>
      <c r="M134" s="55">
        <v>0</v>
      </c>
      <c r="N134" s="55">
        <v>9447493.2200000007</v>
      </c>
      <c r="O134" s="55">
        <v>0</v>
      </c>
      <c r="P134" s="55"/>
      <c r="Q134" s="55"/>
      <c r="R134" s="55"/>
      <c r="S134" s="63"/>
      <c r="T134" s="64">
        <v>337725.4820976</v>
      </c>
      <c r="U134" s="73"/>
    </row>
    <row r="135" spans="1:21" x14ac:dyDescent="0.25">
      <c r="A135" s="193">
        <f t="shared" si="13"/>
        <v>118</v>
      </c>
      <c r="B135" s="107">
        <f t="shared" si="14"/>
        <v>118</v>
      </c>
      <c r="C135" s="53" t="s">
        <v>197</v>
      </c>
      <c r="D135" s="53" t="s">
        <v>199</v>
      </c>
      <c r="E135" s="62">
        <f t="shared" si="12"/>
        <v>459932.97</v>
      </c>
      <c r="F135" s="55">
        <v>0</v>
      </c>
      <c r="G135" s="55">
        <v>0</v>
      </c>
      <c r="H135" s="71">
        <v>0</v>
      </c>
      <c r="I135" s="55">
        <v>0</v>
      </c>
      <c r="J135" s="55">
        <v>459932.97</v>
      </c>
      <c r="K135" s="55"/>
      <c r="L135" s="55"/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/>
      <c r="S135" s="63"/>
      <c r="T135" s="64"/>
      <c r="U135" s="73"/>
    </row>
    <row r="136" spans="1:21" x14ac:dyDescent="0.25">
      <c r="A136" s="193">
        <f t="shared" si="13"/>
        <v>119</v>
      </c>
      <c r="B136" s="107">
        <f t="shared" si="14"/>
        <v>119</v>
      </c>
      <c r="C136" s="53" t="s">
        <v>197</v>
      </c>
      <c r="D136" s="53" t="s">
        <v>200</v>
      </c>
      <c r="E136" s="62">
        <f t="shared" si="12"/>
        <v>7411233.7756144591</v>
      </c>
      <c r="F136" s="55"/>
      <c r="G136" s="55"/>
      <c r="H136" s="71"/>
      <c r="I136" s="55"/>
      <c r="J136" s="55"/>
      <c r="K136" s="55"/>
      <c r="L136" s="55"/>
      <c r="M136" s="55"/>
      <c r="N136" s="55"/>
      <c r="O136" s="55"/>
      <c r="P136" s="55"/>
      <c r="Q136" s="55">
        <v>6404791.8899999997</v>
      </c>
      <c r="R136" s="55">
        <v>779909.40099999995</v>
      </c>
      <c r="S136" s="63">
        <v>77990.940100000007</v>
      </c>
      <c r="T136" s="64">
        <v>148541.54451445999</v>
      </c>
      <c r="U136" s="73"/>
    </row>
    <row r="137" spans="1:21" x14ac:dyDescent="0.25">
      <c r="A137" s="193">
        <f t="shared" si="13"/>
        <v>120</v>
      </c>
      <c r="B137" s="107">
        <f t="shared" si="14"/>
        <v>120</v>
      </c>
      <c r="C137" s="53" t="s">
        <v>197</v>
      </c>
      <c r="D137" s="53" t="s">
        <v>202</v>
      </c>
      <c r="E137" s="62">
        <f t="shared" si="12"/>
        <v>1318598.3729000001</v>
      </c>
      <c r="F137" s="55">
        <v>0</v>
      </c>
      <c r="G137" s="55"/>
      <c r="H137" s="71">
        <v>1005861.31</v>
      </c>
      <c r="I137" s="55">
        <v>0</v>
      </c>
      <c r="J137" s="55"/>
      <c r="K137" s="55"/>
      <c r="L137" s="55"/>
      <c r="M137" s="55">
        <v>0</v>
      </c>
      <c r="N137" s="55">
        <v>0</v>
      </c>
      <c r="O137" s="55">
        <v>0</v>
      </c>
      <c r="P137" s="55">
        <v>0</v>
      </c>
      <c r="Q137" s="55">
        <v>0</v>
      </c>
      <c r="R137" s="55">
        <v>268460.93900000001</v>
      </c>
      <c r="S137" s="63">
        <v>26846.0939</v>
      </c>
      <c r="T137" s="64">
        <v>17430.03</v>
      </c>
      <c r="U137" s="73"/>
    </row>
    <row r="138" spans="1:21" x14ac:dyDescent="0.25">
      <c r="A138" s="193">
        <f t="shared" si="13"/>
        <v>121</v>
      </c>
      <c r="B138" s="107">
        <f t="shared" si="14"/>
        <v>121</v>
      </c>
      <c r="C138" s="53" t="s">
        <v>197</v>
      </c>
      <c r="D138" s="53" t="s">
        <v>203</v>
      </c>
      <c r="E138" s="62">
        <f t="shared" si="12"/>
        <v>2497571.4777621999</v>
      </c>
      <c r="F138" s="55">
        <v>0</v>
      </c>
      <c r="G138" s="55"/>
      <c r="H138" s="71"/>
      <c r="I138" s="55"/>
      <c r="J138" s="55">
        <v>0</v>
      </c>
      <c r="K138" s="55"/>
      <c r="L138" s="55"/>
      <c r="M138" s="55">
        <v>0</v>
      </c>
      <c r="N138" s="55">
        <v>2408460.1</v>
      </c>
      <c r="O138" s="55">
        <v>0</v>
      </c>
      <c r="P138" s="55">
        <v>0</v>
      </c>
      <c r="Q138" s="55">
        <v>0</v>
      </c>
      <c r="R138" s="55"/>
      <c r="S138" s="63"/>
      <c r="T138" s="64">
        <v>89111.377762200005</v>
      </c>
      <c r="U138" s="73"/>
    </row>
    <row r="139" spans="1:21" x14ac:dyDescent="0.25">
      <c r="A139" s="193">
        <f t="shared" si="13"/>
        <v>122</v>
      </c>
      <c r="B139" s="107">
        <f t="shared" si="14"/>
        <v>122</v>
      </c>
      <c r="C139" s="53" t="s">
        <v>204</v>
      </c>
      <c r="D139" s="53" t="s">
        <v>205</v>
      </c>
      <c r="E139" s="62">
        <f t="shared" si="12"/>
        <v>977997.34184702008</v>
      </c>
      <c r="F139" s="55">
        <v>918312.05</v>
      </c>
      <c r="G139" s="55"/>
      <c r="H139" s="71"/>
      <c r="I139" s="55"/>
      <c r="J139" s="55">
        <v>0</v>
      </c>
      <c r="K139" s="55"/>
      <c r="L139" s="55"/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/>
      <c r="S139" s="63"/>
      <c r="T139" s="64">
        <v>59685.291847020002</v>
      </c>
      <c r="U139" s="73"/>
    </row>
    <row r="140" spans="1:21" x14ac:dyDescent="0.25">
      <c r="A140" s="193">
        <f t="shared" si="13"/>
        <v>123</v>
      </c>
      <c r="B140" s="107">
        <f t="shared" si="14"/>
        <v>123</v>
      </c>
      <c r="C140" s="53" t="s">
        <v>206</v>
      </c>
      <c r="D140" s="53" t="s">
        <v>207</v>
      </c>
      <c r="E140" s="62">
        <f t="shared" si="12"/>
        <v>5475068.96438374</v>
      </c>
      <c r="F140" s="55"/>
      <c r="G140" s="55"/>
      <c r="H140" s="71">
        <v>0</v>
      </c>
      <c r="I140" s="55"/>
      <c r="J140" s="55"/>
      <c r="K140" s="55"/>
      <c r="L140" s="55"/>
      <c r="M140" s="55">
        <v>0</v>
      </c>
      <c r="N140" s="55">
        <v>0</v>
      </c>
      <c r="P140" s="55">
        <v>0</v>
      </c>
      <c r="Q140" s="55">
        <v>3924912.66</v>
      </c>
      <c r="R140" s="55">
        <v>1200305.659</v>
      </c>
      <c r="S140" s="63">
        <v>108232.6369</v>
      </c>
      <c r="T140" s="64">
        <v>241618.00848374001</v>
      </c>
      <c r="U140" s="73"/>
    </row>
    <row r="141" spans="1:21" x14ac:dyDescent="0.25">
      <c r="A141" s="193">
        <f t="shared" si="13"/>
        <v>124</v>
      </c>
      <c r="B141" s="107">
        <f t="shared" si="14"/>
        <v>124</v>
      </c>
      <c r="C141" s="53" t="s">
        <v>206</v>
      </c>
      <c r="D141" s="53" t="s">
        <v>208</v>
      </c>
      <c r="E141" s="62">
        <f t="shared" si="12"/>
        <v>5269327.2909560008</v>
      </c>
      <c r="F141" s="55">
        <v>0</v>
      </c>
      <c r="G141" s="55"/>
      <c r="H141" s="71"/>
      <c r="I141" s="55"/>
      <c r="J141" s="55">
        <v>0</v>
      </c>
      <c r="K141" s="55"/>
      <c r="L141" s="55"/>
      <c r="M141" s="55">
        <v>0</v>
      </c>
      <c r="N141" s="55">
        <v>4903240.6500000004</v>
      </c>
      <c r="O141" s="55">
        <v>0</v>
      </c>
      <c r="P141" s="55">
        <v>0</v>
      </c>
      <c r="Q141" s="55">
        <v>0</v>
      </c>
      <c r="R141" s="55">
        <v>229623.17</v>
      </c>
      <c r="S141" s="63">
        <v>6666.66</v>
      </c>
      <c r="T141" s="64">
        <v>129796.810956</v>
      </c>
      <c r="U141" s="73"/>
    </row>
    <row r="142" spans="1:21" x14ac:dyDescent="0.25">
      <c r="A142" s="193">
        <f t="shared" si="13"/>
        <v>125</v>
      </c>
      <c r="B142" s="107">
        <f t="shared" si="14"/>
        <v>125</v>
      </c>
      <c r="C142" s="53" t="s">
        <v>206</v>
      </c>
      <c r="D142" s="53" t="s">
        <v>209</v>
      </c>
      <c r="E142" s="62">
        <f t="shared" si="12"/>
        <v>5224437.8286898201</v>
      </c>
      <c r="F142" s="55"/>
      <c r="G142" s="55"/>
      <c r="H142" s="71"/>
      <c r="I142" s="55"/>
      <c r="J142" s="55"/>
      <c r="K142" s="55"/>
      <c r="L142" s="55"/>
      <c r="M142" s="55">
        <v>0</v>
      </c>
      <c r="N142" s="55">
        <v>0</v>
      </c>
      <c r="P142" s="55">
        <v>0</v>
      </c>
      <c r="Q142" s="55">
        <v>3209479.43</v>
      </c>
      <c r="R142" s="55">
        <v>1575434.3365</v>
      </c>
      <c r="S142" s="63">
        <v>151747.05220000001</v>
      </c>
      <c r="T142" s="64">
        <v>287777.00998982001</v>
      </c>
      <c r="U142" s="73"/>
    </row>
    <row r="143" spans="1:21" x14ac:dyDescent="0.25">
      <c r="A143" s="193">
        <f t="shared" si="13"/>
        <v>126</v>
      </c>
      <c r="B143" s="107">
        <f t="shared" si="14"/>
        <v>126</v>
      </c>
      <c r="C143" s="53" t="s">
        <v>206</v>
      </c>
      <c r="D143" s="53" t="s">
        <v>210</v>
      </c>
      <c r="E143" s="62">
        <f t="shared" si="12"/>
        <v>5699865.1681458</v>
      </c>
      <c r="F143" s="55"/>
      <c r="G143" s="55"/>
      <c r="H143" s="71"/>
      <c r="I143" s="55"/>
      <c r="J143" s="55"/>
      <c r="K143" s="55"/>
      <c r="L143" s="55"/>
      <c r="M143" s="55">
        <v>0</v>
      </c>
      <c r="N143" s="55">
        <v>0</v>
      </c>
      <c r="P143" s="55">
        <v>0</v>
      </c>
      <c r="Q143" s="55">
        <v>4230200.7</v>
      </c>
      <c r="R143" s="55">
        <v>1151371.1732999999</v>
      </c>
      <c r="S143" s="63">
        <v>109963.64969999999</v>
      </c>
      <c r="T143" s="64">
        <v>208329.64514579999</v>
      </c>
      <c r="U143" s="73"/>
    </row>
    <row r="144" spans="1:21" x14ac:dyDescent="0.25">
      <c r="A144" s="193">
        <f t="shared" si="13"/>
        <v>127</v>
      </c>
      <c r="B144" s="107">
        <f t="shared" si="14"/>
        <v>127</v>
      </c>
      <c r="C144" s="53" t="s">
        <v>206</v>
      </c>
      <c r="D144" s="53" t="s">
        <v>211</v>
      </c>
      <c r="E144" s="62">
        <f t="shared" si="12"/>
        <v>5854211.9964419995</v>
      </c>
      <c r="F144" s="55">
        <v>0</v>
      </c>
      <c r="G144" s="55"/>
      <c r="H144" s="71"/>
      <c r="I144" s="55"/>
      <c r="J144" s="55">
        <v>0</v>
      </c>
      <c r="K144" s="55"/>
      <c r="L144" s="55"/>
      <c r="M144" s="55">
        <v>0</v>
      </c>
      <c r="N144" s="55">
        <v>5484086.3899999997</v>
      </c>
      <c r="O144" s="55">
        <v>0</v>
      </c>
      <c r="P144" s="55">
        <v>0</v>
      </c>
      <c r="Q144" s="55">
        <v>0</v>
      </c>
      <c r="R144" s="55">
        <v>229304.55</v>
      </c>
      <c r="S144" s="63">
        <v>6666.66</v>
      </c>
      <c r="T144" s="64">
        <v>134154.396442</v>
      </c>
      <c r="U144" s="73"/>
    </row>
    <row r="145" spans="1:21" x14ac:dyDescent="0.25">
      <c r="A145" s="193">
        <f t="shared" si="13"/>
        <v>128</v>
      </c>
      <c r="B145" s="107">
        <f t="shared" si="14"/>
        <v>128</v>
      </c>
      <c r="C145" s="53" t="s">
        <v>212</v>
      </c>
      <c r="D145" s="53" t="s">
        <v>213</v>
      </c>
      <c r="E145" s="62">
        <f t="shared" si="12"/>
        <v>7339250.7175320005</v>
      </c>
      <c r="H145" s="72"/>
      <c r="J145" s="55">
        <v>0</v>
      </c>
      <c r="K145" s="55"/>
      <c r="L145" s="55"/>
      <c r="M145" s="55">
        <v>0</v>
      </c>
      <c r="N145" s="55">
        <v>6665001.5300000003</v>
      </c>
      <c r="O145" s="55">
        <v>0</v>
      </c>
      <c r="P145" s="55"/>
      <c r="Q145" s="55"/>
      <c r="R145" s="55"/>
      <c r="S145" s="63"/>
      <c r="T145" s="64">
        <v>674249.18753200001</v>
      </c>
      <c r="U145" s="73"/>
    </row>
    <row r="146" spans="1:21" x14ac:dyDescent="0.25">
      <c r="A146" s="193">
        <f t="shared" si="13"/>
        <v>129</v>
      </c>
      <c r="B146" s="107">
        <f t="shared" si="14"/>
        <v>129</v>
      </c>
      <c r="C146" s="53" t="s">
        <v>214</v>
      </c>
      <c r="D146" s="53" t="s">
        <v>215</v>
      </c>
      <c r="E146" s="62">
        <f t="shared" ref="E146:E177" si="15">SUBTOTAL(9, F146:T146)</f>
        <v>7581577</v>
      </c>
      <c r="F146" s="55">
        <v>5331233.07</v>
      </c>
      <c r="G146" s="55"/>
      <c r="H146" s="71"/>
      <c r="I146" s="55">
        <v>2162679.08</v>
      </c>
      <c r="J146" s="55">
        <v>0</v>
      </c>
      <c r="K146" s="55"/>
      <c r="L146" s="55"/>
      <c r="M146" s="55">
        <v>0</v>
      </c>
      <c r="N146" s="55"/>
      <c r="O146" s="55">
        <v>0</v>
      </c>
      <c r="P146" s="55"/>
      <c r="R146" s="55"/>
      <c r="S146" s="55"/>
      <c r="T146" s="64">
        <v>87664.85</v>
      </c>
      <c r="U146" s="73"/>
    </row>
    <row r="147" spans="1:21" x14ac:dyDescent="0.25">
      <c r="A147" s="193">
        <f t="shared" ref="A147:A178" si="16">+A146+1</f>
        <v>130</v>
      </c>
      <c r="B147" s="107">
        <f t="shared" ref="B147:B178" si="17">+B146+1</f>
        <v>130</v>
      </c>
      <c r="C147" s="53" t="s">
        <v>214</v>
      </c>
      <c r="D147" s="53" t="s">
        <v>216</v>
      </c>
      <c r="E147" s="62">
        <f t="shared" si="15"/>
        <v>12740666.644782159</v>
      </c>
      <c r="F147" s="55">
        <v>0</v>
      </c>
      <c r="G147" s="55">
        <v>0</v>
      </c>
      <c r="H147" s="71"/>
      <c r="I147" s="55">
        <v>0</v>
      </c>
      <c r="J147" s="55">
        <v>0</v>
      </c>
      <c r="K147" s="55"/>
      <c r="L147" s="55"/>
      <c r="M147" s="55">
        <v>0</v>
      </c>
      <c r="N147" s="55">
        <v>0</v>
      </c>
      <c r="O147" s="55">
        <v>0</v>
      </c>
      <c r="P147" s="55">
        <v>12568038.82</v>
      </c>
      <c r="Q147" s="55">
        <v>0</v>
      </c>
      <c r="R147" s="55"/>
      <c r="S147" s="63"/>
      <c r="T147" s="64">
        <v>172627.82478215999</v>
      </c>
      <c r="U147" s="73"/>
    </row>
    <row r="148" spans="1:21" x14ac:dyDescent="0.25">
      <c r="A148" s="193">
        <f t="shared" si="16"/>
        <v>131</v>
      </c>
      <c r="B148" s="107">
        <f t="shared" si="17"/>
        <v>131</v>
      </c>
      <c r="C148" s="53" t="s">
        <v>218</v>
      </c>
      <c r="D148" s="53" t="s">
        <v>219</v>
      </c>
      <c r="E148" s="62">
        <f t="shared" si="15"/>
        <v>275546.21000000002</v>
      </c>
      <c r="F148" s="55">
        <v>0</v>
      </c>
      <c r="G148" s="55">
        <v>0</v>
      </c>
      <c r="H148" s="71">
        <v>0</v>
      </c>
      <c r="I148" s="55">
        <v>0</v>
      </c>
      <c r="J148" s="55">
        <v>0</v>
      </c>
      <c r="K148" s="55"/>
      <c r="L148" s="55"/>
      <c r="M148" s="55">
        <v>0</v>
      </c>
      <c r="N148" s="55">
        <v>0</v>
      </c>
      <c r="O148" s="55">
        <v>0</v>
      </c>
      <c r="P148" s="55">
        <v>0</v>
      </c>
      <c r="Q148" s="55">
        <v>275546.21000000002</v>
      </c>
      <c r="R148" s="55"/>
      <c r="S148" s="63"/>
      <c r="T148" s="64"/>
      <c r="U148" s="73"/>
    </row>
    <row r="149" spans="1:21" x14ac:dyDescent="0.25">
      <c r="A149" s="193">
        <f t="shared" si="16"/>
        <v>132</v>
      </c>
      <c r="B149" s="107">
        <f t="shared" si="17"/>
        <v>132</v>
      </c>
      <c r="C149" s="53" t="s">
        <v>218</v>
      </c>
      <c r="D149" s="53" t="s">
        <v>220</v>
      </c>
      <c r="E149" s="62">
        <f t="shared" si="15"/>
        <v>2485206.75</v>
      </c>
      <c r="F149" s="55">
        <v>0</v>
      </c>
      <c r="G149" s="55">
        <v>0</v>
      </c>
      <c r="H149" s="71">
        <v>0</v>
      </c>
      <c r="I149" s="55">
        <v>0</v>
      </c>
      <c r="J149" s="55">
        <v>0</v>
      </c>
      <c r="K149" s="55"/>
      <c r="L149" s="55"/>
      <c r="M149" s="55">
        <v>0</v>
      </c>
      <c r="N149" s="55">
        <v>1968122.34</v>
      </c>
      <c r="O149" s="55">
        <v>0</v>
      </c>
      <c r="P149" s="55">
        <v>0</v>
      </c>
      <c r="Q149" s="55">
        <v>517084.41</v>
      </c>
      <c r="R149" s="55"/>
      <c r="S149" s="63"/>
      <c r="T149" s="64"/>
      <c r="U149" s="73"/>
    </row>
    <row r="150" spans="1:21" x14ac:dyDescent="0.25">
      <c r="A150" s="193">
        <f t="shared" si="16"/>
        <v>133</v>
      </c>
      <c r="B150" s="107">
        <f t="shared" si="17"/>
        <v>133</v>
      </c>
      <c r="C150" s="53" t="s">
        <v>218</v>
      </c>
      <c r="D150" s="53" t="s">
        <v>221</v>
      </c>
      <c r="E150" s="62">
        <f t="shared" si="15"/>
        <v>1052989.615364</v>
      </c>
      <c r="F150" s="55"/>
      <c r="G150" s="55">
        <v>624846.18000000005</v>
      </c>
      <c r="H150" s="71"/>
      <c r="I150" s="55">
        <v>317481.74</v>
      </c>
      <c r="J150" s="55">
        <v>0</v>
      </c>
      <c r="K150" s="55"/>
      <c r="L150" s="55"/>
      <c r="M150" s="55">
        <v>0</v>
      </c>
      <c r="N150" s="55"/>
      <c r="O150" s="55">
        <v>0</v>
      </c>
      <c r="P150" s="55"/>
      <c r="Q150" s="55"/>
      <c r="R150" s="55"/>
      <c r="S150" s="63"/>
      <c r="T150" s="64">
        <v>110661.695364</v>
      </c>
      <c r="U150" s="73"/>
    </row>
    <row r="151" spans="1:21" x14ac:dyDescent="0.25">
      <c r="A151" s="193">
        <f t="shared" si="16"/>
        <v>134</v>
      </c>
      <c r="B151" s="107">
        <f t="shared" si="17"/>
        <v>134</v>
      </c>
      <c r="C151" s="53" t="s">
        <v>218</v>
      </c>
      <c r="D151" s="53" t="s">
        <v>222</v>
      </c>
      <c r="E151" s="62">
        <f t="shared" si="15"/>
        <v>1332134.6908183601</v>
      </c>
      <c r="F151" s="55"/>
      <c r="G151" s="55">
        <v>691727.99</v>
      </c>
      <c r="H151" s="71"/>
      <c r="I151" s="55">
        <v>374090.08</v>
      </c>
      <c r="J151" s="55">
        <v>0</v>
      </c>
      <c r="K151" s="55"/>
      <c r="L151" s="55"/>
      <c r="M151" s="55">
        <v>0</v>
      </c>
      <c r="N151" s="55"/>
      <c r="O151" s="55"/>
      <c r="P151" s="55"/>
      <c r="R151" s="55"/>
      <c r="S151" s="63"/>
      <c r="T151" s="64">
        <v>266316.62081836001</v>
      </c>
      <c r="U151" s="73"/>
    </row>
    <row r="152" spans="1:21" x14ac:dyDescent="0.25">
      <c r="A152" s="193">
        <f t="shared" si="16"/>
        <v>135</v>
      </c>
      <c r="B152" s="107">
        <f t="shared" si="17"/>
        <v>135</v>
      </c>
      <c r="C152" s="53" t="s">
        <v>218</v>
      </c>
      <c r="D152" s="53" t="s">
        <v>223</v>
      </c>
      <c r="E152" s="62">
        <f t="shared" si="15"/>
        <v>1168589.4982480002</v>
      </c>
      <c r="F152" s="55"/>
      <c r="G152" s="55">
        <v>552436.80000000005</v>
      </c>
      <c r="H152" s="71"/>
      <c r="I152" s="55">
        <v>297229.53999999998</v>
      </c>
      <c r="J152" s="55">
        <v>0</v>
      </c>
      <c r="K152" s="55"/>
      <c r="L152" s="55"/>
      <c r="M152" s="55">
        <v>0</v>
      </c>
      <c r="N152" s="55"/>
      <c r="O152" s="55">
        <v>0</v>
      </c>
      <c r="P152" s="55"/>
      <c r="R152" s="55"/>
      <c r="S152" s="63"/>
      <c r="T152" s="64">
        <v>318923.15824800002</v>
      </c>
      <c r="U152" s="73"/>
    </row>
    <row r="153" spans="1:21" x14ac:dyDescent="0.25">
      <c r="A153" s="193">
        <f t="shared" si="16"/>
        <v>136</v>
      </c>
      <c r="B153" s="107">
        <f t="shared" si="17"/>
        <v>136</v>
      </c>
      <c r="C153" s="53" t="s">
        <v>224</v>
      </c>
      <c r="D153" s="53" t="s">
        <v>225</v>
      </c>
      <c r="E153" s="62">
        <f t="shared" si="15"/>
        <v>2714987.2110886802</v>
      </c>
      <c r="F153" s="55">
        <v>2562577.02</v>
      </c>
      <c r="G153" s="55">
        <v>0</v>
      </c>
      <c r="H153" s="71"/>
      <c r="I153" s="55">
        <v>0</v>
      </c>
      <c r="J153" s="55">
        <v>0</v>
      </c>
      <c r="K153" s="55"/>
      <c r="L153" s="55"/>
      <c r="M153" s="55">
        <v>0</v>
      </c>
      <c r="N153" s="55">
        <v>0</v>
      </c>
      <c r="O153" s="55">
        <v>0</v>
      </c>
      <c r="P153" s="55"/>
      <c r="Q153" s="55">
        <v>0</v>
      </c>
      <c r="R153" s="55"/>
      <c r="S153" s="63"/>
      <c r="T153" s="64">
        <v>152410.19108868</v>
      </c>
      <c r="U153" s="73"/>
    </row>
    <row r="154" spans="1:21" x14ac:dyDescent="0.25">
      <c r="A154" s="193">
        <f t="shared" si="16"/>
        <v>137</v>
      </c>
      <c r="B154" s="107">
        <f t="shared" si="17"/>
        <v>137</v>
      </c>
      <c r="C154" s="53" t="s">
        <v>224</v>
      </c>
      <c r="D154" s="53" t="s">
        <v>227</v>
      </c>
      <c r="E154" s="62">
        <f t="shared" si="15"/>
        <v>49829681.060927205</v>
      </c>
      <c r="F154" s="55"/>
      <c r="G154" s="55">
        <v>8054732.7000000002</v>
      </c>
      <c r="H154" s="71">
        <v>3326392.27</v>
      </c>
      <c r="I154" s="55"/>
      <c r="J154" s="55"/>
      <c r="K154" s="55"/>
      <c r="L154" s="55"/>
      <c r="M154" s="55"/>
      <c r="N154" s="55">
        <v>6383560.5599999996</v>
      </c>
      <c r="O154" s="55">
        <v>0</v>
      </c>
      <c r="P154" s="55">
        <v>14384597.800000001</v>
      </c>
      <c r="Q154" s="55">
        <v>14838033.07</v>
      </c>
      <c r="R154" s="55"/>
      <c r="S154" s="63"/>
      <c r="T154" s="64">
        <v>2842364.6609272002</v>
      </c>
      <c r="U154" s="73"/>
    </row>
    <row r="155" spans="1:21" x14ac:dyDescent="0.25">
      <c r="A155" s="193">
        <f t="shared" si="16"/>
        <v>138</v>
      </c>
      <c r="B155" s="107">
        <f t="shared" si="17"/>
        <v>138</v>
      </c>
      <c r="C155" s="53" t="s">
        <v>224</v>
      </c>
      <c r="D155" s="53" t="s">
        <v>228</v>
      </c>
      <c r="E155" s="62">
        <f t="shared" si="15"/>
        <v>3072511.9939301223</v>
      </c>
      <c r="F155" s="55"/>
      <c r="G155" s="55"/>
      <c r="H155" s="71"/>
      <c r="I155" s="55"/>
      <c r="J155" s="55"/>
      <c r="K155" s="55"/>
      <c r="L155" s="55"/>
      <c r="M155" s="55">
        <v>2869496.64</v>
      </c>
      <c r="N155" s="55"/>
      <c r="O155" s="55"/>
      <c r="P155" s="55"/>
      <c r="Q155" s="55"/>
      <c r="R155" s="55">
        <v>104919.11907840001</v>
      </c>
      <c r="S155" s="63">
        <v>24000</v>
      </c>
      <c r="T155" s="64">
        <v>74096.234851722198</v>
      </c>
      <c r="U155" s="73"/>
    </row>
    <row r="156" spans="1:21" x14ac:dyDescent="0.25">
      <c r="A156" s="193">
        <f t="shared" si="16"/>
        <v>139</v>
      </c>
      <c r="B156" s="107">
        <f t="shared" si="17"/>
        <v>139</v>
      </c>
      <c r="C156" s="53" t="s">
        <v>224</v>
      </c>
      <c r="D156" s="53" t="s">
        <v>230</v>
      </c>
      <c r="E156" s="62">
        <f t="shared" si="15"/>
        <v>3072474.8899129103</v>
      </c>
      <c r="F156" s="55"/>
      <c r="G156" s="55"/>
      <c r="H156" s="71"/>
      <c r="I156" s="55"/>
      <c r="J156" s="55"/>
      <c r="K156" s="55"/>
      <c r="L156" s="55"/>
      <c r="M156" s="55">
        <v>2869496.65</v>
      </c>
      <c r="N156" s="55"/>
      <c r="O156" s="55"/>
      <c r="P156" s="55"/>
      <c r="Q156" s="55"/>
      <c r="R156" s="55">
        <v>104881.1934528</v>
      </c>
      <c r="S156" s="63">
        <v>24000</v>
      </c>
      <c r="T156" s="64">
        <v>74097.046460110098</v>
      </c>
      <c r="U156" s="73"/>
    </row>
    <row r="157" spans="1:21" x14ac:dyDescent="0.25">
      <c r="A157" s="193">
        <f t="shared" si="16"/>
        <v>140</v>
      </c>
      <c r="B157" s="107">
        <f t="shared" si="17"/>
        <v>140</v>
      </c>
      <c r="C157" s="53" t="s">
        <v>224</v>
      </c>
      <c r="D157" s="53" t="s">
        <v>231</v>
      </c>
      <c r="E157" s="62">
        <f t="shared" si="15"/>
        <v>3072835.2361071859</v>
      </c>
      <c r="F157" s="55"/>
      <c r="G157" s="55"/>
      <c r="H157" s="71"/>
      <c r="I157" s="55"/>
      <c r="J157" s="55"/>
      <c r="K157" s="55"/>
      <c r="L157" s="55"/>
      <c r="M157" s="55">
        <v>2869496.64</v>
      </c>
      <c r="N157" s="55"/>
      <c r="O157" s="55"/>
      <c r="P157" s="55"/>
      <c r="Q157" s="55"/>
      <c r="R157" s="55">
        <v>105249.4299072</v>
      </c>
      <c r="S157" s="63">
        <v>24000</v>
      </c>
      <c r="T157" s="64">
        <v>74089.166199985906</v>
      </c>
      <c r="U157" s="73"/>
    </row>
    <row r="158" spans="1:21" x14ac:dyDescent="0.25">
      <c r="A158" s="193">
        <f t="shared" si="16"/>
        <v>141</v>
      </c>
      <c r="B158" s="107">
        <f t="shared" si="17"/>
        <v>141</v>
      </c>
      <c r="C158" s="53" t="s">
        <v>224</v>
      </c>
      <c r="D158" s="53" t="s">
        <v>233</v>
      </c>
      <c r="E158" s="62">
        <f t="shared" si="15"/>
        <v>6284189.3513380401</v>
      </c>
      <c r="F158" s="55">
        <v>3826027.56</v>
      </c>
      <c r="G158" s="55">
        <v>0</v>
      </c>
      <c r="H158" s="71">
        <v>0</v>
      </c>
      <c r="I158" s="55">
        <v>2180636.06</v>
      </c>
      <c r="J158" s="55">
        <v>0</v>
      </c>
      <c r="K158" s="55"/>
      <c r="L158" s="55"/>
      <c r="M158" s="55">
        <v>0</v>
      </c>
      <c r="N158" s="55">
        <v>0</v>
      </c>
      <c r="O158" s="55">
        <v>0</v>
      </c>
      <c r="P158" s="55">
        <v>0</v>
      </c>
      <c r="Q158" s="55">
        <v>0</v>
      </c>
      <c r="R158" s="55"/>
      <c r="S158" s="63"/>
      <c r="T158" s="64">
        <v>277525.73133803997</v>
      </c>
      <c r="U158" s="73"/>
    </row>
    <row r="159" spans="1:21" x14ac:dyDescent="0.25">
      <c r="A159" s="193">
        <f t="shared" si="16"/>
        <v>142</v>
      </c>
      <c r="B159" s="107">
        <f t="shared" si="17"/>
        <v>142</v>
      </c>
      <c r="C159" s="53" t="s">
        <v>224</v>
      </c>
      <c r="D159" s="53" t="s">
        <v>234</v>
      </c>
      <c r="E159" s="62">
        <f t="shared" si="15"/>
        <v>863296.86591239995</v>
      </c>
      <c r="F159" s="55">
        <v>0</v>
      </c>
      <c r="G159" s="55">
        <v>0</v>
      </c>
      <c r="H159" s="71">
        <v>782900.97</v>
      </c>
      <c r="I159" s="55"/>
      <c r="J159" s="55">
        <v>0</v>
      </c>
      <c r="K159" s="55"/>
      <c r="L159" s="55"/>
      <c r="M159" s="55">
        <v>0</v>
      </c>
      <c r="N159" s="55">
        <v>0</v>
      </c>
      <c r="O159" s="55">
        <v>0</v>
      </c>
      <c r="P159" s="55">
        <v>0</v>
      </c>
      <c r="Q159" s="55">
        <v>0</v>
      </c>
      <c r="R159" s="55"/>
      <c r="S159" s="63"/>
      <c r="T159" s="64">
        <v>80395.895912399996</v>
      </c>
      <c r="U159" s="73"/>
    </row>
    <row r="160" spans="1:21" x14ac:dyDescent="0.25">
      <c r="A160" s="193">
        <f t="shared" si="16"/>
        <v>143</v>
      </c>
      <c r="B160" s="107">
        <f t="shared" si="17"/>
        <v>143</v>
      </c>
      <c r="C160" s="53" t="s">
        <v>224</v>
      </c>
      <c r="D160" s="53" t="s">
        <v>235</v>
      </c>
      <c r="E160" s="62">
        <f t="shared" si="15"/>
        <v>11321051.292631399</v>
      </c>
      <c r="F160" s="55">
        <v>3735913.84</v>
      </c>
      <c r="G160" s="55">
        <v>627030.85</v>
      </c>
      <c r="H160" s="71">
        <v>1443652.49</v>
      </c>
      <c r="I160" s="55">
        <v>1126366.8799999999</v>
      </c>
      <c r="J160" s="55">
        <v>0</v>
      </c>
      <c r="K160" s="55"/>
      <c r="L160" s="55"/>
      <c r="M160" s="55">
        <v>0</v>
      </c>
      <c r="N160" s="55">
        <v>0</v>
      </c>
      <c r="O160" s="55">
        <v>0</v>
      </c>
      <c r="P160" s="55">
        <v>0</v>
      </c>
      <c r="Q160" s="55">
        <v>4237247.8099999996</v>
      </c>
      <c r="R160" s="55"/>
      <c r="S160" s="63"/>
      <c r="T160" s="64">
        <v>150839.4226314</v>
      </c>
      <c r="U160" s="73"/>
    </row>
    <row r="161" spans="1:21" x14ac:dyDescent="0.25">
      <c r="A161" s="193">
        <f t="shared" si="16"/>
        <v>144</v>
      </c>
      <c r="B161" s="107">
        <f t="shared" si="17"/>
        <v>144</v>
      </c>
      <c r="C161" s="53" t="s">
        <v>224</v>
      </c>
      <c r="D161" s="53" t="s">
        <v>236</v>
      </c>
      <c r="E161" s="62">
        <f t="shared" si="15"/>
        <v>681605.38</v>
      </c>
      <c r="F161" s="55">
        <v>0</v>
      </c>
      <c r="G161" s="55"/>
      <c r="H161" s="71">
        <v>681605.38</v>
      </c>
      <c r="I161" s="55">
        <v>0</v>
      </c>
      <c r="J161" s="55">
        <v>0</v>
      </c>
      <c r="K161" s="55"/>
      <c r="L161" s="55"/>
      <c r="M161" s="55">
        <v>0</v>
      </c>
      <c r="N161" s="55"/>
      <c r="O161" s="55">
        <v>0</v>
      </c>
      <c r="P161" s="55"/>
      <c r="Q161" s="55"/>
      <c r="R161" s="55"/>
      <c r="S161" s="63"/>
      <c r="T161" s="64"/>
      <c r="U161" s="73"/>
    </row>
    <row r="162" spans="1:21" x14ac:dyDescent="0.25">
      <c r="A162" s="193">
        <f t="shared" si="16"/>
        <v>145</v>
      </c>
      <c r="B162" s="107">
        <f t="shared" si="17"/>
        <v>145</v>
      </c>
      <c r="C162" s="53" t="s">
        <v>224</v>
      </c>
      <c r="D162" s="53" t="s">
        <v>237</v>
      </c>
      <c r="E162" s="62">
        <f t="shared" si="15"/>
        <v>2689617.46</v>
      </c>
      <c r="F162" s="55">
        <v>0</v>
      </c>
      <c r="G162" s="55">
        <v>0</v>
      </c>
      <c r="H162" s="71">
        <v>2689617.46</v>
      </c>
      <c r="I162" s="55">
        <v>0</v>
      </c>
      <c r="J162" s="55">
        <v>0</v>
      </c>
      <c r="K162" s="55"/>
      <c r="L162" s="55"/>
      <c r="M162" s="55">
        <v>0</v>
      </c>
      <c r="N162" s="55">
        <v>0</v>
      </c>
      <c r="O162" s="55">
        <v>0</v>
      </c>
      <c r="P162" s="55">
        <v>0</v>
      </c>
      <c r="Q162" s="55">
        <v>0</v>
      </c>
      <c r="R162" s="55"/>
      <c r="S162" s="63"/>
      <c r="T162" s="64"/>
      <c r="U162" s="73"/>
    </row>
    <row r="163" spans="1:21" x14ac:dyDescent="0.25">
      <c r="A163" s="193">
        <f t="shared" si="16"/>
        <v>146</v>
      </c>
      <c r="B163" s="107">
        <f t="shared" si="17"/>
        <v>146</v>
      </c>
      <c r="C163" s="53" t="s">
        <v>224</v>
      </c>
      <c r="D163" s="53" t="s">
        <v>238</v>
      </c>
      <c r="E163" s="62">
        <f t="shared" si="15"/>
        <v>25727773.27</v>
      </c>
      <c r="F163" s="55"/>
      <c r="G163" s="55">
        <v>3182426.63</v>
      </c>
      <c r="H163" s="71"/>
      <c r="I163" s="55"/>
      <c r="J163" s="55">
        <v>0</v>
      </c>
      <c r="K163" s="55"/>
      <c r="L163" s="55"/>
      <c r="M163" s="55">
        <v>0</v>
      </c>
      <c r="N163" s="55">
        <v>0</v>
      </c>
      <c r="O163" s="55">
        <v>0</v>
      </c>
      <c r="P163" s="55">
        <v>0</v>
      </c>
      <c r="Q163" s="55">
        <v>22545346.640000001</v>
      </c>
      <c r="R163" s="55"/>
      <c r="S163" s="63"/>
      <c r="T163" s="64"/>
      <c r="U163" s="73"/>
    </row>
    <row r="164" spans="1:21" x14ac:dyDescent="0.25">
      <c r="A164" s="193">
        <f t="shared" si="16"/>
        <v>147</v>
      </c>
      <c r="B164" s="107">
        <f t="shared" si="17"/>
        <v>147</v>
      </c>
      <c r="C164" s="53" t="s">
        <v>224</v>
      </c>
      <c r="D164" s="53" t="s">
        <v>239</v>
      </c>
      <c r="E164" s="62">
        <f t="shared" si="15"/>
        <v>9962928.3052925188</v>
      </c>
      <c r="F164" s="55"/>
      <c r="G164" s="55">
        <v>7323917.46</v>
      </c>
      <c r="H164" s="71"/>
      <c r="I164" s="55">
        <v>2315022.9</v>
      </c>
      <c r="J164" s="55">
        <v>0</v>
      </c>
      <c r="K164" s="55"/>
      <c r="L164" s="55"/>
      <c r="M164" s="55">
        <v>0</v>
      </c>
      <c r="N164" s="55">
        <v>0</v>
      </c>
      <c r="O164" s="55">
        <v>0</v>
      </c>
      <c r="P164" s="55">
        <v>0</v>
      </c>
      <c r="Q164" s="55"/>
      <c r="R164" s="55"/>
      <c r="S164" s="63"/>
      <c r="T164" s="64">
        <v>323987.94529251999</v>
      </c>
      <c r="U164" s="73"/>
    </row>
    <row r="165" spans="1:21" x14ac:dyDescent="0.25">
      <c r="A165" s="193">
        <f t="shared" si="16"/>
        <v>148</v>
      </c>
      <c r="B165" s="107">
        <f t="shared" si="17"/>
        <v>148</v>
      </c>
      <c r="C165" s="53" t="s">
        <v>224</v>
      </c>
      <c r="D165" s="53" t="s">
        <v>240</v>
      </c>
      <c r="E165" s="62">
        <f t="shared" si="15"/>
        <v>53790180.38000001</v>
      </c>
      <c r="F165" s="55">
        <v>5141989.9000000004</v>
      </c>
      <c r="G165" s="55"/>
      <c r="H165" s="71">
        <v>2714177.72</v>
      </c>
      <c r="I165" s="55"/>
      <c r="J165" s="55">
        <v>0</v>
      </c>
      <c r="K165" s="55"/>
      <c r="L165" s="55"/>
      <c r="M165" s="55">
        <v>0</v>
      </c>
      <c r="N165" s="55">
        <v>0</v>
      </c>
      <c r="O165" s="55">
        <v>0</v>
      </c>
      <c r="P165" s="55">
        <f>37030869.74+5977035.1</f>
        <v>43007904.840000004</v>
      </c>
      <c r="Q165" s="55"/>
      <c r="R165" s="55"/>
      <c r="S165" s="63"/>
      <c r="T165" s="64">
        <v>2926107.92</v>
      </c>
      <c r="U165" s="73"/>
    </row>
    <row r="166" spans="1:21" x14ac:dyDescent="0.25">
      <c r="A166" s="193">
        <f t="shared" si="16"/>
        <v>149</v>
      </c>
      <c r="B166" s="107">
        <f t="shared" si="17"/>
        <v>149</v>
      </c>
      <c r="C166" s="53" t="s">
        <v>224</v>
      </c>
      <c r="D166" s="53" t="s">
        <v>241</v>
      </c>
      <c r="E166" s="62">
        <f t="shared" si="15"/>
        <v>17169391.084560137</v>
      </c>
      <c r="F166" s="55">
        <v>3172690.78</v>
      </c>
      <c r="G166" s="55">
        <v>0</v>
      </c>
      <c r="H166" s="71">
        <v>0</v>
      </c>
      <c r="I166" s="55"/>
      <c r="J166" s="55">
        <v>0</v>
      </c>
      <c r="K166" s="55"/>
      <c r="L166" s="55"/>
      <c r="M166" s="55">
        <v>0</v>
      </c>
      <c r="N166" s="55">
        <v>5090700.49</v>
      </c>
      <c r="O166" s="55">
        <v>0</v>
      </c>
      <c r="P166" s="55">
        <v>7382703.5599999996</v>
      </c>
      <c r="Q166" s="55"/>
      <c r="R166" s="55"/>
      <c r="S166" s="63"/>
      <c r="T166" s="64">
        <v>1523296.25456014</v>
      </c>
      <c r="U166" s="73"/>
    </row>
    <row r="167" spans="1:21" x14ac:dyDescent="0.25">
      <c r="A167" s="193">
        <f t="shared" si="16"/>
        <v>150</v>
      </c>
      <c r="B167" s="107">
        <f t="shared" si="17"/>
        <v>150</v>
      </c>
      <c r="C167" s="53" t="s">
        <v>224</v>
      </c>
      <c r="D167" s="53" t="s">
        <v>242</v>
      </c>
      <c r="E167" s="62">
        <f t="shared" si="15"/>
        <v>1156060.93417932</v>
      </c>
      <c r="F167" s="55"/>
      <c r="G167" s="55"/>
      <c r="H167" s="71"/>
      <c r="I167" s="55"/>
      <c r="J167" s="55"/>
      <c r="K167" s="55"/>
      <c r="L167" s="55"/>
      <c r="M167" s="55">
        <v>0</v>
      </c>
      <c r="N167" s="55">
        <v>0</v>
      </c>
      <c r="O167" s="55">
        <v>0</v>
      </c>
      <c r="P167" s="55"/>
      <c r="Q167" s="55">
        <v>580989.24</v>
      </c>
      <c r="R167" s="55"/>
      <c r="S167" s="63"/>
      <c r="T167" s="64">
        <v>575071.69417932001</v>
      </c>
      <c r="U167" s="73"/>
    </row>
    <row r="168" spans="1:21" x14ac:dyDescent="0.25">
      <c r="A168" s="193">
        <f t="shared" si="16"/>
        <v>151</v>
      </c>
      <c r="B168" s="107">
        <f t="shared" si="17"/>
        <v>151</v>
      </c>
      <c r="C168" s="53" t="s">
        <v>224</v>
      </c>
      <c r="D168" s="53" t="s">
        <v>243</v>
      </c>
      <c r="E168" s="62">
        <f t="shared" si="15"/>
        <v>8066054.8088218002</v>
      </c>
      <c r="F168" s="55"/>
      <c r="G168" s="55"/>
      <c r="H168" s="71">
        <v>3648621.62</v>
      </c>
      <c r="I168" s="55">
        <v>3268542.62</v>
      </c>
      <c r="J168" s="55">
        <v>0</v>
      </c>
      <c r="K168" s="55"/>
      <c r="L168" s="55"/>
      <c r="M168" s="55">
        <v>0</v>
      </c>
      <c r="N168" s="55">
        <v>0</v>
      </c>
      <c r="O168" s="55">
        <v>0</v>
      </c>
      <c r="P168" s="55">
        <v>0</v>
      </c>
      <c r="Q168" s="55">
        <v>0</v>
      </c>
      <c r="R168" s="55">
        <v>630230.47770000005</v>
      </c>
      <c r="S168" s="63">
        <v>85014.565300000002</v>
      </c>
      <c r="T168" s="64">
        <v>433645.52582179999</v>
      </c>
      <c r="U168" s="73"/>
    </row>
    <row r="169" spans="1:21" x14ac:dyDescent="0.25">
      <c r="A169" s="193">
        <f t="shared" si="16"/>
        <v>152</v>
      </c>
      <c r="B169" s="107">
        <f t="shared" si="17"/>
        <v>152</v>
      </c>
      <c r="C169" s="53" t="s">
        <v>244</v>
      </c>
      <c r="D169" s="53" t="s">
        <v>245</v>
      </c>
      <c r="E169" s="62">
        <f t="shared" si="15"/>
        <v>10316811.362920118</v>
      </c>
      <c r="F169" s="55"/>
      <c r="G169" s="55"/>
      <c r="H169" s="71">
        <v>0</v>
      </c>
      <c r="I169" s="55">
        <v>0</v>
      </c>
      <c r="J169" s="55">
        <v>0</v>
      </c>
      <c r="K169" s="55"/>
      <c r="L169" s="55"/>
      <c r="M169" s="55">
        <v>0</v>
      </c>
      <c r="N169" s="55">
        <v>9398785.4499999993</v>
      </c>
      <c r="O169" s="55">
        <v>0</v>
      </c>
      <c r="P169" s="55">
        <v>0</v>
      </c>
      <c r="Q169" s="55">
        <v>0</v>
      </c>
      <c r="R169" s="55"/>
      <c r="S169" s="63"/>
      <c r="T169" s="64">
        <v>918025.91292012006</v>
      </c>
      <c r="U169" s="73"/>
    </row>
    <row r="170" spans="1:21" x14ac:dyDescent="0.25">
      <c r="A170" s="193">
        <f t="shared" si="16"/>
        <v>153</v>
      </c>
      <c r="B170" s="107">
        <f t="shared" si="17"/>
        <v>153</v>
      </c>
      <c r="C170" s="53" t="s">
        <v>244</v>
      </c>
      <c r="D170" s="53" t="s">
        <v>246</v>
      </c>
      <c r="E170" s="62">
        <f t="shared" si="15"/>
        <v>10050452.1841392</v>
      </c>
      <c r="F170" s="55"/>
      <c r="G170" s="55"/>
      <c r="H170" s="71"/>
      <c r="I170" s="55">
        <v>0</v>
      </c>
      <c r="J170" s="55">
        <v>0</v>
      </c>
      <c r="K170" s="55"/>
      <c r="L170" s="55"/>
      <c r="M170" s="55">
        <v>0</v>
      </c>
      <c r="N170" s="55">
        <v>9546866.3969999999</v>
      </c>
      <c r="O170" s="55">
        <v>0</v>
      </c>
      <c r="P170" s="55">
        <v>0</v>
      </c>
      <c r="Q170" s="55">
        <v>0</v>
      </c>
      <c r="R170" s="55"/>
      <c r="S170" s="63"/>
      <c r="T170" s="64">
        <v>503585.78713920002</v>
      </c>
      <c r="U170" s="73"/>
    </row>
    <row r="171" spans="1:21" x14ac:dyDescent="0.25">
      <c r="A171" s="193">
        <f t="shared" si="16"/>
        <v>154</v>
      </c>
      <c r="B171" s="107">
        <f t="shared" si="17"/>
        <v>154</v>
      </c>
      <c r="C171" s="53" t="s">
        <v>244</v>
      </c>
      <c r="D171" s="53" t="s">
        <v>247</v>
      </c>
      <c r="E171" s="62">
        <f t="shared" si="15"/>
        <v>17029022.68593052</v>
      </c>
      <c r="F171" s="55"/>
      <c r="G171" s="55"/>
      <c r="H171" s="71">
        <v>0</v>
      </c>
      <c r="I171" s="55">
        <v>0</v>
      </c>
      <c r="J171" s="55">
        <v>0</v>
      </c>
      <c r="K171" s="55"/>
      <c r="L171" s="55"/>
      <c r="M171" s="55">
        <v>0</v>
      </c>
      <c r="N171" s="55">
        <v>16106664.949999999</v>
      </c>
      <c r="O171" s="55">
        <v>0</v>
      </c>
      <c r="P171" s="55">
        <v>0</v>
      </c>
      <c r="Q171" s="55">
        <v>0</v>
      </c>
      <c r="R171" s="55"/>
      <c r="S171" s="63"/>
      <c r="T171" s="64">
        <v>922357.73593051999</v>
      </c>
      <c r="U171" s="73"/>
    </row>
    <row r="172" spans="1:21" x14ac:dyDescent="0.25">
      <c r="A172" s="193">
        <f t="shared" si="16"/>
        <v>155</v>
      </c>
      <c r="B172" s="107">
        <f t="shared" si="17"/>
        <v>155</v>
      </c>
      <c r="C172" s="53" t="s">
        <v>248</v>
      </c>
      <c r="D172" s="53" t="s">
        <v>249</v>
      </c>
      <c r="E172" s="62">
        <f t="shared" si="15"/>
        <v>650224.41704400012</v>
      </c>
      <c r="F172" s="55">
        <v>0</v>
      </c>
      <c r="G172" s="55">
        <v>0</v>
      </c>
      <c r="H172" s="71">
        <v>0</v>
      </c>
      <c r="I172" s="55">
        <v>0</v>
      </c>
      <c r="J172" s="55">
        <v>579887.30000000005</v>
      </c>
      <c r="K172" s="55"/>
      <c r="L172" s="55"/>
      <c r="M172" s="55">
        <v>0</v>
      </c>
      <c r="N172" s="55">
        <v>0</v>
      </c>
      <c r="O172" s="55">
        <v>0</v>
      </c>
      <c r="P172" s="55">
        <v>0</v>
      </c>
      <c r="Q172" s="55">
        <v>0</v>
      </c>
      <c r="R172" s="55">
        <v>58462.29</v>
      </c>
      <c r="S172" s="55"/>
      <c r="T172" s="64">
        <v>11874.827044</v>
      </c>
      <c r="U172" s="73"/>
    </row>
    <row r="173" spans="1:21" x14ac:dyDescent="0.25">
      <c r="A173" s="193">
        <f t="shared" si="16"/>
        <v>156</v>
      </c>
      <c r="B173" s="107">
        <f t="shared" si="17"/>
        <v>156</v>
      </c>
      <c r="C173" s="53" t="s">
        <v>250</v>
      </c>
      <c r="D173" s="53" t="s">
        <v>251</v>
      </c>
      <c r="E173" s="62">
        <f t="shared" si="15"/>
        <v>3842006.1097638123</v>
      </c>
      <c r="F173" s="55"/>
      <c r="G173" s="55"/>
      <c r="H173" s="71"/>
      <c r="I173" s="55"/>
      <c r="J173" s="55"/>
      <c r="K173" s="55"/>
      <c r="L173" s="55"/>
      <c r="M173" s="55"/>
      <c r="N173" s="55">
        <v>1229943.21</v>
      </c>
      <c r="O173" s="55"/>
      <c r="P173" s="55"/>
      <c r="Q173" s="55">
        <v>2522771.4</v>
      </c>
      <c r="R173" s="55"/>
      <c r="S173" s="63"/>
      <c r="T173" s="64">
        <v>89291.499763812506</v>
      </c>
      <c r="U173" s="73"/>
    </row>
    <row r="174" spans="1:21" x14ac:dyDescent="0.25">
      <c r="A174" s="193">
        <f t="shared" si="16"/>
        <v>157</v>
      </c>
      <c r="B174" s="107">
        <f t="shared" si="17"/>
        <v>157</v>
      </c>
      <c r="C174" s="53" t="s">
        <v>250</v>
      </c>
      <c r="D174" s="53" t="s">
        <v>252</v>
      </c>
      <c r="E174" s="62">
        <f t="shared" si="15"/>
        <v>2326131.7975841803</v>
      </c>
      <c r="F174" s="55">
        <v>0</v>
      </c>
      <c r="G174" s="55">
        <v>0</v>
      </c>
      <c r="H174" s="71"/>
      <c r="I174" s="55"/>
      <c r="J174" s="55"/>
      <c r="K174" s="55"/>
      <c r="L174" s="55"/>
      <c r="M174" s="55"/>
      <c r="N174" s="55">
        <v>2093523.54</v>
      </c>
      <c r="O174" s="55"/>
      <c r="P174" s="55"/>
      <c r="Q174" s="55"/>
      <c r="R174" s="55"/>
      <c r="S174" s="63"/>
      <c r="T174" s="64">
        <v>232608.25758418001</v>
      </c>
      <c r="U174" s="73"/>
    </row>
    <row r="175" spans="1:21" x14ac:dyDescent="0.25">
      <c r="A175" s="193">
        <f t="shared" si="16"/>
        <v>158</v>
      </c>
      <c r="B175" s="107">
        <f t="shared" si="17"/>
        <v>158</v>
      </c>
      <c r="C175" s="53" t="s">
        <v>250</v>
      </c>
      <c r="D175" s="53" t="s">
        <v>253</v>
      </c>
      <c r="E175" s="62">
        <f t="shared" si="15"/>
        <v>1546028.3117803601</v>
      </c>
      <c r="F175" s="55">
        <v>0</v>
      </c>
      <c r="G175" s="55">
        <v>0</v>
      </c>
      <c r="H175" s="71"/>
      <c r="I175" s="55"/>
      <c r="J175" s="55"/>
      <c r="K175" s="55"/>
      <c r="L175" s="55"/>
      <c r="M175" s="55"/>
      <c r="N175" s="55"/>
      <c r="O175" s="55"/>
      <c r="P175" s="55">
        <v>0</v>
      </c>
      <c r="Q175" s="55">
        <v>539462.39</v>
      </c>
      <c r="R175" s="55"/>
      <c r="S175" s="63"/>
      <c r="T175" s="64">
        <v>1006565.92178036</v>
      </c>
      <c r="U175" s="73"/>
    </row>
    <row r="176" spans="1:21" x14ac:dyDescent="0.25">
      <c r="A176" s="193">
        <f t="shared" si="16"/>
        <v>159</v>
      </c>
      <c r="B176" s="107">
        <f t="shared" si="17"/>
        <v>159</v>
      </c>
      <c r="C176" s="53" t="s">
        <v>254</v>
      </c>
      <c r="D176" s="53" t="s">
        <v>255</v>
      </c>
      <c r="E176" s="62">
        <f t="shared" si="15"/>
        <v>14861650.108344279</v>
      </c>
      <c r="F176" s="55">
        <v>3185792.78</v>
      </c>
      <c r="G176" s="55">
        <v>811520.58</v>
      </c>
      <c r="H176" s="71">
        <v>739091.37</v>
      </c>
      <c r="I176" s="55"/>
      <c r="J176" s="55">
        <v>0</v>
      </c>
      <c r="K176" s="55"/>
      <c r="L176" s="55"/>
      <c r="M176" s="55">
        <v>0</v>
      </c>
      <c r="N176" s="55">
        <v>5126751.9400000004</v>
      </c>
      <c r="O176" s="55">
        <v>0</v>
      </c>
      <c r="P176" s="55"/>
      <c r="Q176" s="55">
        <v>4617339.53</v>
      </c>
      <c r="R176" s="55"/>
      <c r="S176" s="63"/>
      <c r="T176" s="64">
        <v>381153.90834427997</v>
      </c>
      <c r="U176" s="73"/>
    </row>
    <row r="177" spans="1:21" x14ac:dyDescent="0.25">
      <c r="A177" s="193">
        <f t="shared" si="16"/>
        <v>160</v>
      </c>
      <c r="B177" s="107">
        <f t="shared" si="17"/>
        <v>160</v>
      </c>
      <c r="C177" s="53" t="s">
        <v>256</v>
      </c>
      <c r="D177" s="53" t="s">
        <v>257</v>
      </c>
      <c r="E177" s="62">
        <f t="shared" si="15"/>
        <v>4147111.6458220002</v>
      </c>
      <c r="F177" s="55">
        <v>0</v>
      </c>
      <c r="G177" s="55">
        <v>0</v>
      </c>
      <c r="H177" s="71">
        <v>0</v>
      </c>
      <c r="I177" s="55">
        <v>0</v>
      </c>
      <c r="J177" s="55">
        <v>0</v>
      </c>
      <c r="K177" s="55"/>
      <c r="L177" s="55"/>
      <c r="M177" s="55">
        <v>0</v>
      </c>
      <c r="N177" s="55">
        <v>0</v>
      </c>
      <c r="O177" s="55">
        <v>0</v>
      </c>
      <c r="P177" s="55">
        <v>0</v>
      </c>
      <c r="Q177" s="55">
        <v>3880712.95</v>
      </c>
      <c r="R177" s="55">
        <v>63874.52</v>
      </c>
      <c r="S177" s="63">
        <v>52548.83</v>
      </c>
      <c r="T177" s="64">
        <v>149975.345822</v>
      </c>
      <c r="U177" s="73"/>
    </row>
    <row r="178" spans="1:21" x14ac:dyDescent="0.25">
      <c r="A178" s="193">
        <f t="shared" si="16"/>
        <v>161</v>
      </c>
      <c r="B178" s="107">
        <f t="shared" si="17"/>
        <v>161</v>
      </c>
      <c r="C178" s="53" t="s">
        <v>256</v>
      </c>
      <c r="D178" s="53" t="s">
        <v>258</v>
      </c>
      <c r="E178" s="62">
        <f t="shared" ref="E178:E209" si="18">SUBTOTAL(9, F178:T178)</f>
        <v>7160735.1737979995</v>
      </c>
      <c r="F178" s="55">
        <v>0</v>
      </c>
      <c r="G178" s="55">
        <v>0</v>
      </c>
      <c r="H178" s="71">
        <v>0</v>
      </c>
      <c r="I178" s="55">
        <v>0</v>
      </c>
      <c r="J178" s="55">
        <v>0</v>
      </c>
      <c r="K178" s="55"/>
      <c r="L178" s="55"/>
      <c r="M178" s="55">
        <v>0</v>
      </c>
      <c r="N178" s="55">
        <v>6406790.6799999997</v>
      </c>
      <c r="O178" s="55">
        <v>0</v>
      </c>
      <c r="P178" s="55">
        <v>0</v>
      </c>
      <c r="Q178" s="55"/>
      <c r="R178" s="55">
        <v>228114.94</v>
      </c>
      <c r="S178" s="63">
        <v>61903.35</v>
      </c>
      <c r="T178" s="64">
        <v>463926.203798</v>
      </c>
      <c r="U178" s="73"/>
    </row>
    <row r="179" spans="1:21" x14ac:dyDescent="0.25">
      <c r="A179" s="193">
        <f t="shared" ref="A179:A205" si="19">+A178+1</f>
        <v>162</v>
      </c>
      <c r="B179" s="107">
        <f t="shared" ref="B179:B205" si="20">+B178+1</f>
        <v>162</v>
      </c>
      <c r="C179" s="53" t="s">
        <v>256</v>
      </c>
      <c r="D179" s="53" t="s">
        <v>259</v>
      </c>
      <c r="E179" s="62">
        <f t="shared" si="18"/>
        <v>5095856.215392</v>
      </c>
      <c r="F179" s="55">
        <v>0</v>
      </c>
      <c r="G179" s="55">
        <v>0</v>
      </c>
      <c r="H179" s="71">
        <v>0</v>
      </c>
      <c r="I179" s="55">
        <v>0</v>
      </c>
      <c r="J179" s="55">
        <v>0</v>
      </c>
      <c r="K179" s="55"/>
      <c r="L179" s="55"/>
      <c r="M179" s="55">
        <v>0</v>
      </c>
      <c r="N179" s="55">
        <v>4786076.9400000004</v>
      </c>
      <c r="O179" s="55">
        <v>0</v>
      </c>
      <c r="P179" s="55">
        <v>0</v>
      </c>
      <c r="Q179" s="55">
        <v>0</v>
      </c>
      <c r="R179" s="55">
        <v>92267.42</v>
      </c>
      <c r="S179" s="63">
        <v>15260</v>
      </c>
      <c r="T179" s="64">
        <v>202251.855392</v>
      </c>
      <c r="U179" s="73"/>
    </row>
    <row r="180" spans="1:21" x14ac:dyDescent="0.25">
      <c r="A180" s="193">
        <f t="shared" si="19"/>
        <v>163</v>
      </c>
      <c r="B180" s="107">
        <f t="shared" si="20"/>
        <v>163</v>
      </c>
      <c r="C180" s="53" t="s">
        <v>772</v>
      </c>
      <c r="D180" s="53" t="s">
        <v>261</v>
      </c>
      <c r="E180" s="62">
        <f t="shared" si="18"/>
        <v>5687244.3899999997</v>
      </c>
      <c r="F180" s="55">
        <v>5464157.29</v>
      </c>
      <c r="G180" s="55">
        <v>0</v>
      </c>
      <c r="H180" s="71"/>
      <c r="I180" s="55"/>
      <c r="J180" s="55">
        <v>0</v>
      </c>
      <c r="K180" s="55"/>
      <c r="L180" s="55"/>
      <c r="M180" s="55">
        <v>0</v>
      </c>
      <c r="N180" s="55">
        <v>0</v>
      </c>
      <c r="O180" s="55">
        <v>0</v>
      </c>
      <c r="P180" s="55">
        <v>0</v>
      </c>
      <c r="Q180" s="55">
        <v>0</v>
      </c>
      <c r="R180" s="55"/>
      <c r="S180" s="63"/>
      <c r="T180" s="64">
        <v>223087.1</v>
      </c>
      <c r="U180" s="73"/>
    </row>
    <row r="181" spans="1:21" x14ac:dyDescent="0.25">
      <c r="A181" s="193">
        <f t="shared" si="19"/>
        <v>164</v>
      </c>
      <c r="B181" s="107">
        <f t="shared" si="20"/>
        <v>164</v>
      </c>
      <c r="C181" s="53" t="s">
        <v>772</v>
      </c>
      <c r="D181" s="53" t="s">
        <v>262</v>
      </c>
      <c r="E181" s="62">
        <f t="shared" si="18"/>
        <v>28300277.879999999</v>
      </c>
      <c r="F181" s="55">
        <v>8079212.4000000004</v>
      </c>
      <c r="G181" s="55"/>
      <c r="H181" s="71">
        <v>3039831.6</v>
      </c>
      <c r="I181" s="55">
        <v>2344507</v>
      </c>
      <c r="J181" s="55"/>
      <c r="K181" s="55"/>
      <c r="L181" s="55"/>
      <c r="M181" s="55"/>
      <c r="N181" s="55">
        <v>14009282.4</v>
      </c>
      <c r="O181" s="55"/>
      <c r="P181" s="55"/>
      <c r="Q181" s="55"/>
      <c r="R181" s="55">
        <v>700984.03</v>
      </c>
      <c r="S181" s="63">
        <v>24000</v>
      </c>
      <c r="T181" s="64">
        <v>102460.45</v>
      </c>
      <c r="U181" s="73"/>
    </row>
    <row r="182" spans="1:21" x14ac:dyDescent="0.25">
      <c r="A182" s="193">
        <f t="shared" si="19"/>
        <v>165</v>
      </c>
      <c r="B182" s="107">
        <f t="shared" si="20"/>
        <v>165</v>
      </c>
      <c r="C182" s="53" t="s">
        <v>772</v>
      </c>
      <c r="D182" s="53" t="s">
        <v>265</v>
      </c>
      <c r="E182" s="62">
        <f t="shared" si="18"/>
        <v>19814143.776263442</v>
      </c>
      <c r="F182" s="55"/>
      <c r="G182" s="55"/>
      <c r="H182" s="71">
        <v>3153436.8</v>
      </c>
      <c r="I182" s="55">
        <v>2158646.4</v>
      </c>
      <c r="J182" s="55"/>
      <c r="K182" s="55"/>
      <c r="L182" s="55"/>
      <c r="M182" s="55"/>
      <c r="N182" s="55">
        <v>13939516.800000001</v>
      </c>
      <c r="O182" s="55"/>
      <c r="P182" s="55"/>
      <c r="Q182" s="55"/>
      <c r="R182" s="55">
        <v>495096.03</v>
      </c>
      <c r="S182" s="63">
        <v>24000</v>
      </c>
      <c r="T182" s="64">
        <v>43447.74626344</v>
      </c>
      <c r="U182" s="73"/>
    </row>
    <row r="183" spans="1:21" x14ac:dyDescent="0.25">
      <c r="A183" s="193">
        <f t="shared" si="19"/>
        <v>166</v>
      </c>
      <c r="B183" s="107">
        <f t="shared" si="20"/>
        <v>166</v>
      </c>
      <c r="C183" s="53" t="s">
        <v>772</v>
      </c>
      <c r="D183" s="53" t="s">
        <v>268</v>
      </c>
      <c r="E183" s="62">
        <f t="shared" si="18"/>
        <v>9802331.1099999994</v>
      </c>
      <c r="F183" s="55">
        <v>0</v>
      </c>
      <c r="G183" s="55">
        <v>0</v>
      </c>
      <c r="H183" s="71">
        <v>0</v>
      </c>
      <c r="I183" s="55">
        <v>0</v>
      </c>
      <c r="J183" s="55">
        <v>0</v>
      </c>
      <c r="K183" s="55"/>
      <c r="L183" s="55"/>
      <c r="M183" s="55">
        <v>0</v>
      </c>
      <c r="N183" s="55">
        <v>9802331.1099999994</v>
      </c>
      <c r="O183" s="55">
        <v>0</v>
      </c>
      <c r="P183" s="55">
        <v>0</v>
      </c>
      <c r="Q183" s="55">
        <v>0</v>
      </c>
      <c r="R183" s="55"/>
      <c r="S183" s="63"/>
      <c r="T183" s="64"/>
      <c r="U183" s="73"/>
    </row>
    <row r="184" spans="1:21" x14ac:dyDescent="0.25">
      <c r="A184" s="193">
        <f t="shared" si="19"/>
        <v>167</v>
      </c>
      <c r="B184" s="107">
        <f t="shared" si="20"/>
        <v>167</v>
      </c>
      <c r="C184" s="53" t="s">
        <v>772</v>
      </c>
      <c r="D184" s="53" t="s">
        <v>269</v>
      </c>
      <c r="E184" s="62">
        <f t="shared" si="18"/>
        <v>16952691.299999997</v>
      </c>
      <c r="F184" s="55">
        <v>7939864.5</v>
      </c>
      <c r="G184" s="55"/>
      <c r="H184" s="71">
        <v>4681160.4000000004</v>
      </c>
      <c r="I184" s="55">
        <v>3537004.8</v>
      </c>
      <c r="J184" s="55"/>
      <c r="K184" s="55"/>
      <c r="L184" s="55"/>
      <c r="M184" s="55"/>
      <c r="N184" s="55"/>
      <c r="O184" s="55"/>
      <c r="P184" s="55"/>
      <c r="Q184" s="55"/>
      <c r="R184" s="55">
        <v>634398.13</v>
      </c>
      <c r="S184" s="63">
        <v>24000</v>
      </c>
      <c r="T184" s="64">
        <v>136263.47</v>
      </c>
      <c r="U184" s="73"/>
    </row>
    <row r="185" spans="1:21" x14ac:dyDescent="0.25">
      <c r="A185" s="193">
        <f t="shared" si="19"/>
        <v>168</v>
      </c>
      <c r="B185" s="107">
        <f t="shared" si="20"/>
        <v>168</v>
      </c>
      <c r="C185" s="53" t="s">
        <v>772</v>
      </c>
      <c r="D185" s="53" t="s">
        <v>271</v>
      </c>
      <c r="E185" s="62">
        <f t="shared" si="18"/>
        <v>11455370.009999998</v>
      </c>
      <c r="F185" s="55">
        <v>5903245.2000000002</v>
      </c>
      <c r="G185" s="55"/>
      <c r="H185" s="71">
        <v>3002210.4</v>
      </c>
      <c r="I185" s="55">
        <v>1923324</v>
      </c>
      <c r="J185" s="55"/>
      <c r="K185" s="55"/>
      <c r="L185" s="55"/>
      <c r="M185" s="55"/>
      <c r="N185" s="55"/>
      <c r="O185" s="55"/>
      <c r="P185" s="55"/>
      <c r="Q185" s="55"/>
      <c r="R185" s="55">
        <v>516618.54</v>
      </c>
      <c r="S185" s="63">
        <v>24000</v>
      </c>
      <c r="T185" s="64">
        <v>85971.87</v>
      </c>
      <c r="U185" s="73"/>
    </row>
    <row r="186" spans="1:21" x14ac:dyDescent="0.25">
      <c r="A186" s="193">
        <f t="shared" si="19"/>
        <v>169</v>
      </c>
      <c r="B186" s="107">
        <f t="shared" si="20"/>
        <v>169</v>
      </c>
      <c r="C186" s="53" t="s">
        <v>772</v>
      </c>
      <c r="D186" s="53" t="s">
        <v>272</v>
      </c>
      <c r="E186" s="62">
        <f t="shared" si="18"/>
        <v>21555121.629999999</v>
      </c>
      <c r="F186" s="55">
        <v>11356723.199999999</v>
      </c>
      <c r="G186" s="55"/>
      <c r="H186" s="71">
        <v>5611190.4000000004</v>
      </c>
      <c r="I186" s="55">
        <v>3761995.2</v>
      </c>
      <c r="J186" s="55"/>
      <c r="K186" s="55"/>
      <c r="L186" s="55"/>
      <c r="M186" s="55"/>
      <c r="N186" s="55"/>
      <c r="O186" s="55"/>
      <c r="P186" s="55"/>
      <c r="Q186" s="55"/>
      <c r="R186" s="55">
        <v>634436.54</v>
      </c>
      <c r="S186" s="63">
        <v>24000</v>
      </c>
      <c r="T186" s="64">
        <v>166776.29</v>
      </c>
      <c r="U186" s="73"/>
    </row>
    <row r="187" spans="1:21" x14ac:dyDescent="0.25">
      <c r="A187" s="193">
        <f t="shared" si="19"/>
        <v>170</v>
      </c>
      <c r="B187" s="107">
        <f t="shared" si="20"/>
        <v>170</v>
      </c>
      <c r="C187" s="53" t="s">
        <v>772</v>
      </c>
      <c r="D187" s="53" t="s">
        <v>273</v>
      </c>
      <c r="E187" s="62">
        <f t="shared" si="18"/>
        <v>21555080.010000002</v>
      </c>
      <c r="F187" s="55">
        <v>11356723.199999999</v>
      </c>
      <c r="G187" s="55"/>
      <c r="H187" s="71">
        <v>5611190.4000000004</v>
      </c>
      <c r="I187" s="55">
        <v>3761995.2</v>
      </c>
      <c r="J187" s="55"/>
      <c r="K187" s="55"/>
      <c r="L187" s="55"/>
      <c r="M187" s="55"/>
      <c r="N187" s="55"/>
      <c r="O187" s="55"/>
      <c r="P187" s="55"/>
      <c r="Q187" s="55"/>
      <c r="R187" s="55">
        <v>634394.92000000004</v>
      </c>
      <c r="S187" s="63">
        <v>24000</v>
      </c>
      <c r="T187" s="64">
        <v>166776.29</v>
      </c>
      <c r="U187" s="73"/>
    </row>
    <row r="188" spans="1:21" x14ac:dyDescent="0.25">
      <c r="A188" s="193">
        <f t="shared" si="19"/>
        <v>171</v>
      </c>
      <c r="B188" s="107">
        <f t="shared" si="20"/>
        <v>171</v>
      </c>
      <c r="C188" s="53" t="s">
        <v>772</v>
      </c>
      <c r="D188" s="53" t="s">
        <v>274</v>
      </c>
      <c r="E188" s="62">
        <f t="shared" si="18"/>
        <v>3798455.12</v>
      </c>
      <c r="F188" s="55">
        <v>3733979.02</v>
      </c>
      <c r="G188" s="55">
        <v>0</v>
      </c>
      <c r="H188" s="71">
        <v>0</v>
      </c>
      <c r="I188" s="55">
        <v>0</v>
      </c>
      <c r="J188" s="55">
        <v>0</v>
      </c>
      <c r="K188" s="55"/>
      <c r="L188" s="55"/>
      <c r="M188" s="55">
        <v>0</v>
      </c>
      <c r="N188" s="55">
        <v>0</v>
      </c>
      <c r="O188" s="55">
        <v>0</v>
      </c>
      <c r="P188" s="55">
        <v>0</v>
      </c>
      <c r="Q188" s="55">
        <v>0</v>
      </c>
      <c r="R188" s="55"/>
      <c r="S188" s="63"/>
      <c r="T188" s="64">
        <v>64476.1</v>
      </c>
      <c r="U188" s="73"/>
    </row>
    <row r="189" spans="1:21" x14ac:dyDescent="0.25">
      <c r="A189" s="193">
        <f t="shared" si="19"/>
        <v>172</v>
      </c>
      <c r="B189" s="107">
        <f t="shared" si="20"/>
        <v>172</v>
      </c>
      <c r="C189" s="53" t="s">
        <v>772</v>
      </c>
      <c r="D189" s="53" t="s">
        <v>275</v>
      </c>
      <c r="E189" s="62">
        <f t="shared" si="18"/>
        <v>5080860.6100000003</v>
      </c>
      <c r="F189" s="55">
        <v>0</v>
      </c>
      <c r="G189" s="55">
        <v>0</v>
      </c>
      <c r="H189" s="71">
        <v>0</v>
      </c>
      <c r="I189" s="55">
        <v>0</v>
      </c>
      <c r="J189" s="55">
        <v>0</v>
      </c>
      <c r="K189" s="55"/>
      <c r="L189" s="55"/>
      <c r="M189" s="55">
        <v>0</v>
      </c>
      <c r="N189" s="55">
        <v>5044368.49</v>
      </c>
      <c r="O189" s="55">
        <v>0</v>
      </c>
      <c r="P189" s="55">
        <v>0</v>
      </c>
      <c r="Q189" s="55">
        <v>0</v>
      </c>
      <c r="R189" s="55"/>
      <c r="S189" s="63"/>
      <c r="T189" s="64">
        <v>36492.120000000003</v>
      </c>
      <c r="U189" s="73"/>
    </row>
    <row r="190" spans="1:21" x14ac:dyDescent="0.25">
      <c r="A190" s="193">
        <f t="shared" si="19"/>
        <v>173</v>
      </c>
      <c r="B190" s="107">
        <f t="shared" si="20"/>
        <v>173</v>
      </c>
      <c r="C190" s="53" t="s">
        <v>276</v>
      </c>
      <c r="D190" s="53" t="s">
        <v>277</v>
      </c>
      <c r="E190" s="62">
        <f t="shared" si="18"/>
        <v>8755162.1893241201</v>
      </c>
      <c r="F190" s="55">
        <v>0</v>
      </c>
      <c r="G190" s="55">
        <v>0</v>
      </c>
      <c r="H190" s="71">
        <v>1011024.23</v>
      </c>
      <c r="I190" s="55">
        <v>0</v>
      </c>
      <c r="J190" s="55"/>
      <c r="K190" s="55"/>
      <c r="L190" s="55"/>
      <c r="M190" s="55">
        <v>0</v>
      </c>
      <c r="N190" s="55">
        <v>0</v>
      </c>
      <c r="O190" s="55">
        <v>0</v>
      </c>
      <c r="P190" s="55">
        <v>4376437.43</v>
      </c>
      <c r="Q190" s="55">
        <v>3141303.98</v>
      </c>
      <c r="R190" s="55"/>
      <c r="S190" s="63"/>
      <c r="T190" s="64">
        <v>226396.54932411999</v>
      </c>
      <c r="U190" s="73"/>
    </row>
    <row r="191" spans="1:21" x14ac:dyDescent="0.25">
      <c r="A191" s="193">
        <f t="shared" si="19"/>
        <v>174</v>
      </c>
      <c r="B191" s="107">
        <f t="shared" si="20"/>
        <v>174</v>
      </c>
      <c r="C191" s="53" t="s">
        <v>276</v>
      </c>
      <c r="D191" s="53" t="s">
        <v>278</v>
      </c>
      <c r="E191" s="62">
        <f t="shared" si="18"/>
        <v>1521216.82339412</v>
      </c>
      <c r="F191" s="55">
        <v>0</v>
      </c>
      <c r="G191" s="55">
        <v>0</v>
      </c>
      <c r="H191" s="71">
        <v>256799.44</v>
      </c>
      <c r="I191" s="55">
        <v>0</v>
      </c>
      <c r="J191" s="55">
        <v>0</v>
      </c>
      <c r="K191" s="55"/>
      <c r="L191" s="55"/>
      <c r="M191" s="55">
        <v>0</v>
      </c>
      <c r="N191" s="55">
        <v>0</v>
      </c>
      <c r="O191" s="55">
        <v>0</v>
      </c>
      <c r="P191" s="55">
        <v>0</v>
      </c>
      <c r="Q191" s="55">
        <v>1206681.83</v>
      </c>
      <c r="R191" s="55"/>
      <c r="S191" s="63"/>
      <c r="T191" s="64">
        <v>57735.553394119997</v>
      </c>
      <c r="U191" s="73"/>
    </row>
    <row r="192" spans="1:21" x14ac:dyDescent="0.25">
      <c r="A192" s="193">
        <f t="shared" si="19"/>
        <v>175</v>
      </c>
      <c r="B192" s="107">
        <f t="shared" si="20"/>
        <v>175</v>
      </c>
      <c r="C192" s="53" t="s">
        <v>279</v>
      </c>
      <c r="D192" s="53" t="s">
        <v>280</v>
      </c>
      <c r="E192" s="62">
        <f t="shared" si="18"/>
        <v>764368.75019825995</v>
      </c>
      <c r="F192" s="55">
        <v>0</v>
      </c>
      <c r="G192" s="55">
        <v>0</v>
      </c>
      <c r="H192" s="71">
        <v>664753.06999999995</v>
      </c>
      <c r="I192" s="55"/>
      <c r="J192" s="55">
        <v>0</v>
      </c>
      <c r="K192" s="55"/>
      <c r="L192" s="55"/>
      <c r="M192" s="55">
        <v>0</v>
      </c>
      <c r="N192" s="55">
        <v>0</v>
      </c>
      <c r="O192" s="55">
        <v>0</v>
      </c>
      <c r="P192" s="55">
        <v>0</v>
      </c>
      <c r="Q192" s="55">
        <v>0</v>
      </c>
      <c r="R192" s="55">
        <v>77193.930999999997</v>
      </c>
      <c r="S192" s="63">
        <v>7719.3931000000002</v>
      </c>
      <c r="T192" s="64">
        <v>14702.356098259999</v>
      </c>
      <c r="U192" s="73"/>
    </row>
    <row r="193" spans="1:70" x14ac:dyDescent="0.25">
      <c r="A193" s="193">
        <f t="shared" si="19"/>
        <v>176</v>
      </c>
      <c r="B193" s="107">
        <f t="shared" si="20"/>
        <v>176</v>
      </c>
      <c r="C193" s="53" t="s">
        <v>279</v>
      </c>
      <c r="D193" s="53" t="s">
        <v>281</v>
      </c>
      <c r="E193" s="62">
        <f t="shared" si="18"/>
        <v>365088.24984040001</v>
      </c>
      <c r="F193" s="55">
        <v>0</v>
      </c>
      <c r="G193" s="55">
        <v>0</v>
      </c>
      <c r="H193" s="71">
        <v>0</v>
      </c>
      <c r="I193" s="55">
        <v>346555.42</v>
      </c>
      <c r="J193" s="55"/>
      <c r="K193" s="55"/>
      <c r="L193" s="55"/>
      <c r="M193" s="55">
        <v>0</v>
      </c>
      <c r="N193" s="55">
        <v>0</v>
      </c>
      <c r="O193" s="55">
        <v>0</v>
      </c>
      <c r="P193" s="55">
        <v>0</v>
      </c>
      <c r="Q193" s="55">
        <v>0</v>
      </c>
      <c r="R193" s="55"/>
      <c r="S193" s="63"/>
      <c r="T193" s="64">
        <v>18532.829840400002</v>
      </c>
      <c r="U193" s="73"/>
    </row>
    <row r="194" spans="1:70" x14ac:dyDescent="0.25">
      <c r="A194" s="193">
        <f t="shared" si="19"/>
        <v>177</v>
      </c>
      <c r="B194" s="107">
        <f t="shared" si="20"/>
        <v>177</v>
      </c>
      <c r="C194" s="53" t="s">
        <v>279</v>
      </c>
      <c r="D194" s="53" t="s">
        <v>282</v>
      </c>
      <c r="E194" s="62">
        <f t="shared" si="18"/>
        <v>8606121.4599104002</v>
      </c>
      <c r="F194" s="55">
        <v>0</v>
      </c>
      <c r="G194" s="55">
        <v>0</v>
      </c>
      <c r="H194" s="71">
        <v>0</v>
      </c>
      <c r="I194" s="55"/>
      <c r="J194" s="55">
        <v>0</v>
      </c>
      <c r="K194" s="55"/>
      <c r="L194" s="55"/>
      <c r="M194" s="55">
        <v>0</v>
      </c>
      <c r="N194" s="55">
        <v>8345806.4000000004</v>
      </c>
      <c r="O194" s="55">
        <v>0</v>
      </c>
      <c r="P194" s="55">
        <v>0</v>
      </c>
      <c r="Q194" s="55">
        <v>0</v>
      </c>
      <c r="R194" s="55"/>
      <c r="S194" s="63"/>
      <c r="T194" s="64">
        <v>260315.05991040001</v>
      </c>
      <c r="U194" s="73"/>
    </row>
    <row r="195" spans="1:70" x14ac:dyDescent="0.25">
      <c r="A195" s="193">
        <f t="shared" si="19"/>
        <v>178</v>
      </c>
      <c r="B195" s="107">
        <f t="shared" si="20"/>
        <v>178</v>
      </c>
      <c r="C195" s="53" t="s">
        <v>279</v>
      </c>
      <c r="D195" s="53" t="s">
        <v>283</v>
      </c>
      <c r="E195" s="62">
        <f t="shared" si="18"/>
        <v>481793.98029291996</v>
      </c>
      <c r="F195" s="55"/>
      <c r="G195" s="55">
        <v>0</v>
      </c>
      <c r="H195" s="71"/>
      <c r="I195" s="55">
        <v>363946.04</v>
      </c>
      <c r="J195" s="55">
        <v>0</v>
      </c>
      <c r="K195" s="55"/>
      <c r="L195" s="55"/>
      <c r="M195" s="55">
        <v>0</v>
      </c>
      <c r="N195" s="55">
        <v>0</v>
      </c>
      <c r="O195" s="55">
        <v>0</v>
      </c>
      <c r="P195" s="55">
        <v>0</v>
      </c>
      <c r="Q195" s="55">
        <v>0</v>
      </c>
      <c r="R195" s="55"/>
      <c r="S195" s="63"/>
      <c r="T195" s="64">
        <v>117847.94029292</v>
      </c>
      <c r="U195" s="73"/>
    </row>
    <row r="196" spans="1:70" x14ac:dyDescent="0.25">
      <c r="A196" s="193">
        <f t="shared" si="19"/>
        <v>179</v>
      </c>
      <c r="B196" s="107">
        <f t="shared" si="20"/>
        <v>179</v>
      </c>
      <c r="C196" s="53" t="s">
        <v>279</v>
      </c>
      <c r="D196" s="53" t="s">
        <v>284</v>
      </c>
      <c r="E196" s="62">
        <f t="shared" si="18"/>
        <v>1379849.7611506002</v>
      </c>
      <c r="F196" s="55">
        <v>0</v>
      </c>
      <c r="G196" s="55">
        <v>0</v>
      </c>
      <c r="H196" s="71">
        <v>0</v>
      </c>
      <c r="I196" s="55">
        <v>1321350.8500000001</v>
      </c>
      <c r="J196" s="55"/>
      <c r="K196" s="55"/>
      <c r="L196" s="55"/>
      <c r="M196" s="55">
        <v>0</v>
      </c>
      <c r="N196" s="55">
        <v>0</v>
      </c>
      <c r="O196" s="55">
        <v>0</v>
      </c>
      <c r="P196" s="55">
        <v>0</v>
      </c>
      <c r="Q196" s="55">
        <v>0</v>
      </c>
      <c r="R196" s="55"/>
      <c r="S196" s="63"/>
      <c r="T196" s="64">
        <v>58498.911150599997</v>
      </c>
      <c r="U196" s="73"/>
    </row>
    <row r="197" spans="1:70" x14ac:dyDescent="0.25">
      <c r="A197" s="193">
        <f t="shared" si="19"/>
        <v>180</v>
      </c>
      <c r="B197" s="107">
        <f t="shared" si="20"/>
        <v>180</v>
      </c>
      <c r="C197" s="53" t="s">
        <v>279</v>
      </c>
      <c r="D197" s="53" t="s">
        <v>285</v>
      </c>
      <c r="E197" s="62">
        <f t="shared" si="18"/>
        <v>3552408.6974952403</v>
      </c>
      <c r="F197" s="55"/>
      <c r="G197" s="55">
        <v>0</v>
      </c>
      <c r="H197" s="71">
        <v>0</v>
      </c>
      <c r="I197" s="55">
        <v>0</v>
      </c>
      <c r="J197" s="55"/>
      <c r="K197" s="55"/>
      <c r="L197" s="55"/>
      <c r="M197" s="55">
        <v>0</v>
      </c>
      <c r="N197" s="55">
        <v>0</v>
      </c>
      <c r="O197" s="55">
        <v>0</v>
      </c>
      <c r="P197" s="55"/>
      <c r="Q197" s="55">
        <v>3253286.45</v>
      </c>
      <c r="R197" s="55"/>
      <c r="S197" s="63"/>
      <c r="T197" s="64">
        <v>299122.24749524001</v>
      </c>
      <c r="U197" s="73"/>
    </row>
    <row r="198" spans="1:70" x14ac:dyDescent="0.25">
      <c r="A198" s="193">
        <f t="shared" si="19"/>
        <v>181</v>
      </c>
      <c r="B198" s="107">
        <f t="shared" si="20"/>
        <v>181</v>
      </c>
      <c r="C198" s="53" t="s">
        <v>279</v>
      </c>
      <c r="D198" s="53" t="s">
        <v>286</v>
      </c>
      <c r="E198" s="62">
        <f t="shared" si="18"/>
        <v>1178970.48751072</v>
      </c>
      <c r="F198" s="55"/>
      <c r="G198" s="55"/>
      <c r="H198" s="71">
        <v>667653.5</v>
      </c>
      <c r="I198" s="55">
        <v>491754.09</v>
      </c>
      <c r="J198" s="55"/>
      <c r="K198" s="55"/>
      <c r="L198" s="55"/>
      <c r="M198" s="55">
        <v>0</v>
      </c>
      <c r="N198" s="55">
        <v>0</v>
      </c>
      <c r="O198" s="55">
        <v>0</v>
      </c>
      <c r="P198" s="55">
        <v>0</v>
      </c>
      <c r="Q198" s="55">
        <v>0</v>
      </c>
      <c r="R198" s="55"/>
      <c r="S198" s="63"/>
      <c r="T198" s="64">
        <v>19562.897510719999</v>
      </c>
      <c r="U198" s="73"/>
    </row>
    <row r="199" spans="1:70" x14ac:dyDescent="0.25">
      <c r="A199" s="193">
        <f t="shared" si="19"/>
        <v>182</v>
      </c>
      <c r="B199" s="107">
        <f t="shared" si="20"/>
        <v>182</v>
      </c>
      <c r="C199" s="53" t="s">
        <v>279</v>
      </c>
      <c r="D199" s="53" t="s">
        <v>287</v>
      </c>
      <c r="E199" s="62">
        <f t="shared" si="18"/>
        <v>2049515.5313292001</v>
      </c>
      <c r="F199" s="55">
        <v>0</v>
      </c>
      <c r="G199" s="55">
        <v>0</v>
      </c>
      <c r="H199" s="71"/>
      <c r="I199" s="55">
        <v>1990765.32</v>
      </c>
      <c r="J199" s="55"/>
      <c r="K199" s="55"/>
      <c r="L199" s="55"/>
      <c r="M199" s="55">
        <v>0</v>
      </c>
      <c r="N199" s="55">
        <v>0</v>
      </c>
      <c r="O199" s="55">
        <v>0</v>
      </c>
      <c r="P199" s="55">
        <v>0</v>
      </c>
      <c r="Q199" s="55">
        <v>0</v>
      </c>
      <c r="R199" s="55"/>
      <c r="S199" s="63"/>
      <c r="T199" s="64">
        <v>58750.211329199999</v>
      </c>
      <c r="U199" s="73"/>
    </row>
    <row r="200" spans="1:70" x14ac:dyDescent="0.25">
      <c r="A200" s="193">
        <f t="shared" si="19"/>
        <v>183</v>
      </c>
      <c r="B200" s="107">
        <f t="shared" si="20"/>
        <v>183</v>
      </c>
      <c r="C200" s="53" t="s">
        <v>279</v>
      </c>
      <c r="D200" s="53" t="s">
        <v>288</v>
      </c>
      <c r="E200" s="62">
        <f t="shared" si="18"/>
        <v>6265968.0113439998</v>
      </c>
      <c r="F200" s="55">
        <v>0</v>
      </c>
      <c r="G200" s="55">
        <v>0</v>
      </c>
      <c r="H200" s="71">
        <v>0</v>
      </c>
      <c r="I200" s="55">
        <v>0</v>
      </c>
      <c r="J200" s="55"/>
      <c r="K200" s="55"/>
      <c r="L200" s="55"/>
      <c r="M200" s="55">
        <v>0</v>
      </c>
      <c r="N200" s="55">
        <v>0</v>
      </c>
      <c r="O200" s="55">
        <v>0</v>
      </c>
      <c r="P200" s="55">
        <v>6113601.8799999999</v>
      </c>
      <c r="Q200" s="55"/>
      <c r="R200" s="55"/>
      <c r="S200" s="63"/>
      <c r="T200" s="64">
        <v>152366.13134399999</v>
      </c>
      <c r="U200" s="73"/>
    </row>
    <row r="201" spans="1:70" x14ac:dyDescent="0.25">
      <c r="A201" s="193">
        <f t="shared" si="19"/>
        <v>184</v>
      </c>
      <c r="B201" s="107">
        <f t="shared" si="20"/>
        <v>184</v>
      </c>
      <c r="C201" s="53" t="s">
        <v>279</v>
      </c>
      <c r="D201" s="53" t="s">
        <v>289</v>
      </c>
      <c r="E201" s="62">
        <f t="shared" si="18"/>
        <v>18257138.112024002</v>
      </c>
      <c r="F201" s="55">
        <v>4878537.09</v>
      </c>
      <c r="G201" s="55">
        <v>0</v>
      </c>
      <c r="H201" s="71">
        <v>0</v>
      </c>
      <c r="I201" s="55">
        <v>0</v>
      </c>
      <c r="J201" s="55"/>
      <c r="K201" s="55"/>
      <c r="L201" s="55"/>
      <c r="M201" s="55">
        <v>0</v>
      </c>
      <c r="N201" s="55">
        <v>0</v>
      </c>
      <c r="O201" s="55">
        <v>0</v>
      </c>
      <c r="P201" s="55">
        <v>5994057.4199999999</v>
      </c>
      <c r="Q201" s="55">
        <v>7172099.8799999999</v>
      </c>
      <c r="R201" s="55"/>
      <c r="S201" s="63"/>
      <c r="T201" s="64">
        <v>212443.72202399999</v>
      </c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</row>
    <row r="202" spans="1:70" x14ac:dyDescent="0.25">
      <c r="A202" s="193">
        <f t="shared" si="19"/>
        <v>185</v>
      </c>
      <c r="B202" s="107">
        <f t="shared" si="20"/>
        <v>185</v>
      </c>
      <c r="C202" s="53" t="s">
        <v>279</v>
      </c>
      <c r="D202" s="53" t="s">
        <v>290</v>
      </c>
      <c r="E202" s="62">
        <f t="shared" si="18"/>
        <v>1244942.4749406199</v>
      </c>
      <c r="F202" s="55">
        <v>0</v>
      </c>
      <c r="G202" s="55">
        <v>0</v>
      </c>
      <c r="H202" s="71">
        <v>1207654.75</v>
      </c>
      <c r="I202" s="55">
        <v>0</v>
      </c>
      <c r="J202" s="55">
        <v>0</v>
      </c>
      <c r="K202" s="55"/>
      <c r="L202" s="55"/>
      <c r="M202" s="55">
        <v>0</v>
      </c>
      <c r="N202" s="55">
        <v>0</v>
      </c>
      <c r="O202" s="55">
        <v>0</v>
      </c>
      <c r="P202" s="55">
        <v>0</v>
      </c>
      <c r="Q202" s="55">
        <v>0</v>
      </c>
      <c r="R202" s="55"/>
      <c r="S202" s="63"/>
      <c r="T202" s="64">
        <v>37287.724940619999</v>
      </c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</row>
    <row r="203" spans="1:70" x14ac:dyDescent="0.25">
      <c r="A203" s="193">
        <f t="shared" si="19"/>
        <v>186</v>
      </c>
      <c r="B203" s="107">
        <f t="shared" si="20"/>
        <v>186</v>
      </c>
      <c r="C203" s="53" t="s">
        <v>108</v>
      </c>
      <c r="D203" s="53" t="s">
        <v>773</v>
      </c>
      <c r="E203" s="62">
        <f t="shared" si="18"/>
        <v>4254086.16</v>
      </c>
      <c r="F203" s="55"/>
      <c r="G203" s="55"/>
      <c r="H203" s="71"/>
      <c r="I203" s="55"/>
      <c r="J203" s="55"/>
      <c r="K203" s="55"/>
      <c r="L203" s="55"/>
      <c r="M203" s="55"/>
      <c r="N203" s="55">
        <v>4254086.16</v>
      </c>
      <c r="O203" s="55"/>
      <c r="P203" s="55"/>
      <c r="Q203" s="55"/>
      <c r="R203" s="55"/>
      <c r="S203" s="55"/>
      <c r="T203" s="55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</row>
    <row r="204" spans="1:70" x14ac:dyDescent="0.25">
      <c r="A204" s="193">
        <f t="shared" si="19"/>
        <v>187</v>
      </c>
      <c r="B204" s="107">
        <f t="shared" si="20"/>
        <v>187</v>
      </c>
      <c r="C204" s="1" t="s">
        <v>774</v>
      </c>
      <c r="D204" s="53" t="s">
        <v>294</v>
      </c>
      <c r="E204" s="62">
        <f t="shared" si="18"/>
        <v>566057.97</v>
      </c>
      <c r="F204" s="55"/>
      <c r="G204" s="55"/>
      <c r="H204" s="71"/>
      <c r="I204" s="55"/>
      <c r="J204" s="55"/>
      <c r="K204" s="55"/>
      <c r="L204" s="55"/>
      <c r="M204" s="55"/>
      <c r="N204" s="55">
        <v>194953.44</v>
      </c>
      <c r="O204" s="55"/>
      <c r="P204" s="55">
        <v>371104.53</v>
      </c>
      <c r="Q204" s="55"/>
      <c r="R204" s="55"/>
      <c r="S204" s="55"/>
      <c r="T204" s="55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</row>
    <row r="205" spans="1:70" x14ac:dyDescent="0.25">
      <c r="A205" s="195">
        <f t="shared" si="19"/>
        <v>188</v>
      </c>
      <c r="B205" s="196">
        <f t="shared" si="20"/>
        <v>188</v>
      </c>
      <c r="C205" s="1" t="s">
        <v>774</v>
      </c>
      <c r="D205" s="197" t="s">
        <v>296</v>
      </c>
      <c r="E205" s="77">
        <f t="shared" si="18"/>
        <v>10770762.300000001</v>
      </c>
      <c r="F205" s="78"/>
      <c r="G205" s="78"/>
      <c r="H205" s="81"/>
      <c r="I205" s="78"/>
      <c r="J205" s="78"/>
      <c r="K205" s="78"/>
      <c r="L205" s="78"/>
      <c r="M205" s="78"/>
      <c r="N205" s="78">
        <v>5195058.41</v>
      </c>
      <c r="O205" s="78"/>
      <c r="P205" s="78">
        <v>5575703.8899999997</v>
      </c>
      <c r="Q205" s="78"/>
      <c r="R205" s="78"/>
      <c r="S205" s="78"/>
      <c r="T205" s="78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</row>
    <row r="206" spans="1:70" x14ac:dyDescent="0.25">
      <c r="A206" s="198"/>
      <c r="B206" s="199"/>
      <c r="C206" s="82"/>
      <c r="D206" s="200">
        <v>2023</v>
      </c>
      <c r="E206" s="201">
        <f t="shared" ref="E206:T206" si="21">E207+E380</f>
        <v>2485408477.3561807</v>
      </c>
      <c r="F206" s="201">
        <f t="shared" si="21"/>
        <v>370237572.12199986</v>
      </c>
      <c r="G206" s="201">
        <f t="shared" si="21"/>
        <v>95469739.890000015</v>
      </c>
      <c r="H206" s="201">
        <f t="shared" si="21"/>
        <v>156384312.5</v>
      </c>
      <c r="I206" s="201">
        <f t="shared" si="21"/>
        <v>98009059.789999992</v>
      </c>
      <c r="J206" s="201">
        <f t="shared" si="21"/>
        <v>24461049.949000001</v>
      </c>
      <c r="K206" s="201">
        <f t="shared" si="21"/>
        <v>0</v>
      </c>
      <c r="L206" s="201">
        <f t="shared" si="21"/>
        <v>1515829.2</v>
      </c>
      <c r="M206" s="201">
        <f t="shared" si="21"/>
        <v>70747186.210000008</v>
      </c>
      <c r="N206" s="201">
        <f t="shared" si="21"/>
        <v>493044101.23502535</v>
      </c>
      <c r="O206" s="201">
        <f t="shared" si="21"/>
        <v>55019781.859999999</v>
      </c>
      <c r="P206" s="201">
        <f t="shared" si="21"/>
        <v>632269454.80999994</v>
      </c>
      <c r="Q206" s="201">
        <f t="shared" si="21"/>
        <v>326730280.55999994</v>
      </c>
      <c r="R206" s="201">
        <f t="shared" si="21"/>
        <v>26416260.585307483</v>
      </c>
      <c r="S206" s="201">
        <f t="shared" si="21"/>
        <v>1673742.33</v>
      </c>
      <c r="T206" s="201">
        <f t="shared" si="21"/>
        <v>133430106.31484818</v>
      </c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</row>
    <row r="207" spans="1:70" s="82" customFormat="1" x14ac:dyDescent="0.25">
      <c r="A207" s="202"/>
      <c r="B207" s="202"/>
      <c r="C207" s="203"/>
      <c r="D207" s="90" t="s">
        <v>298</v>
      </c>
      <c r="E207" s="204">
        <f>SUM(F207:T207)</f>
        <v>1669740958.02284</v>
      </c>
      <c r="F207" s="92">
        <f>SUM(F208:F379)</f>
        <v>225812151.79999986</v>
      </c>
      <c r="G207" s="92">
        <f>SUM(G208:G379)</f>
        <v>53247479.420000002</v>
      </c>
      <c r="H207" s="92">
        <f>SUM(H208:H379)</f>
        <v>130878867.69000001</v>
      </c>
      <c r="I207" s="92">
        <f>SUM(I208:I379)</f>
        <v>75359890.479999989</v>
      </c>
      <c r="J207" s="92">
        <f>SUM(J208:J379)</f>
        <v>18927579.638999999</v>
      </c>
      <c r="K207" s="92">
        <f>SUM(K208:K376)</f>
        <v>0</v>
      </c>
      <c r="L207" s="92">
        <f t="shared" ref="L207:T207" si="22">SUM(L208:L379)</f>
        <v>0</v>
      </c>
      <c r="M207" s="92">
        <f t="shared" si="22"/>
        <v>53772127.82</v>
      </c>
      <c r="N207" s="92">
        <f t="shared" si="22"/>
        <v>443523458.33502537</v>
      </c>
      <c r="O207" s="92">
        <f t="shared" si="22"/>
        <v>34761605.880000003</v>
      </c>
      <c r="P207" s="92">
        <f t="shared" si="22"/>
        <v>268646577.94999999</v>
      </c>
      <c r="Q207" s="92">
        <f t="shared" si="22"/>
        <v>259457726.89999995</v>
      </c>
      <c r="R207" s="92">
        <f t="shared" si="22"/>
        <v>19512709.595307484</v>
      </c>
      <c r="S207" s="92">
        <f t="shared" si="22"/>
        <v>1071227.73</v>
      </c>
      <c r="T207" s="92">
        <f t="shared" si="22"/>
        <v>84769554.783507466</v>
      </c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</row>
    <row r="208" spans="1:70" x14ac:dyDescent="0.25">
      <c r="A208" s="193">
        <f>+A205+1</f>
        <v>189</v>
      </c>
      <c r="B208" s="107">
        <v>1</v>
      </c>
      <c r="C208" s="53" t="s">
        <v>299</v>
      </c>
      <c r="D208" s="107" t="s">
        <v>300</v>
      </c>
      <c r="E208" s="110">
        <f t="shared" ref="E208:E239" si="23">SUBTOTAL(9, F208:T208)</f>
        <v>5500477.4840838267</v>
      </c>
      <c r="F208" s="63">
        <v>0</v>
      </c>
      <c r="G208" s="63">
        <v>0</v>
      </c>
      <c r="H208" s="63">
        <v>0</v>
      </c>
      <c r="I208" s="63">
        <v>0</v>
      </c>
      <c r="J208" s="63">
        <v>0</v>
      </c>
      <c r="K208" s="63"/>
      <c r="L208" s="63"/>
      <c r="M208" s="63">
        <v>0</v>
      </c>
      <c r="N208" s="63"/>
      <c r="O208" s="63">
        <v>5403128.5</v>
      </c>
      <c r="P208" s="63">
        <v>0</v>
      </c>
      <c r="Q208" s="63">
        <v>0</v>
      </c>
      <c r="R208" s="63"/>
      <c r="S208" s="63"/>
      <c r="T208" s="64">
        <v>97348.984083826697</v>
      </c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</row>
    <row r="209" spans="1:70" x14ac:dyDescent="0.25">
      <c r="A209" s="193">
        <f t="shared" ref="A209:A240" si="24">+A208+1</f>
        <v>190</v>
      </c>
      <c r="B209" s="107">
        <f t="shared" ref="B209:B240" si="25">+B208+1</f>
        <v>2</v>
      </c>
      <c r="C209" s="53" t="s">
        <v>299</v>
      </c>
      <c r="D209" s="107" t="s">
        <v>301</v>
      </c>
      <c r="E209" s="110">
        <f t="shared" si="23"/>
        <v>6440513.7959507219</v>
      </c>
      <c r="F209" s="63">
        <v>0</v>
      </c>
      <c r="G209" s="63">
        <v>0</v>
      </c>
      <c r="H209" s="63">
        <v>0</v>
      </c>
      <c r="I209" s="63">
        <v>0</v>
      </c>
      <c r="J209" s="63">
        <v>0</v>
      </c>
      <c r="K209" s="63"/>
      <c r="L209" s="63"/>
      <c r="M209" s="63">
        <v>0</v>
      </c>
      <c r="N209" s="63">
        <v>0</v>
      </c>
      <c r="O209" s="63">
        <v>5976346.29</v>
      </c>
      <c r="P209" s="63"/>
      <c r="Q209" s="63">
        <v>0</v>
      </c>
      <c r="R209" s="63"/>
      <c r="S209" s="63"/>
      <c r="T209" s="64">
        <v>464167.50595072203</v>
      </c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</row>
    <row r="210" spans="1:70" x14ac:dyDescent="0.25">
      <c r="A210" s="193">
        <f t="shared" si="24"/>
        <v>191</v>
      </c>
      <c r="B210" s="107">
        <f t="shared" si="25"/>
        <v>3</v>
      </c>
      <c r="C210" s="53" t="s">
        <v>299</v>
      </c>
      <c r="D210" s="107" t="s">
        <v>302</v>
      </c>
      <c r="E210" s="62">
        <f t="shared" si="23"/>
        <v>1437261.42</v>
      </c>
      <c r="F210" s="63"/>
      <c r="G210" s="63"/>
      <c r="H210" s="63">
        <v>442092.5</v>
      </c>
      <c r="I210" s="63"/>
      <c r="J210" s="63">
        <v>0</v>
      </c>
      <c r="K210" s="63"/>
      <c r="L210" s="63"/>
      <c r="M210" s="63">
        <v>0</v>
      </c>
      <c r="N210" s="63"/>
      <c r="O210" s="55"/>
      <c r="P210" s="63"/>
      <c r="Q210" s="63"/>
      <c r="R210" s="63"/>
      <c r="S210" s="63"/>
      <c r="T210" s="64">
        <v>995168.92</v>
      </c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</row>
    <row r="211" spans="1:70" x14ac:dyDescent="0.25">
      <c r="A211" s="193">
        <f t="shared" si="24"/>
        <v>192</v>
      </c>
      <c r="B211" s="107">
        <f t="shared" si="25"/>
        <v>4</v>
      </c>
      <c r="C211" s="53" t="s">
        <v>62</v>
      </c>
      <c r="D211" s="107" t="s">
        <v>63</v>
      </c>
      <c r="E211" s="62">
        <f t="shared" si="23"/>
        <v>4673123.5136141935</v>
      </c>
      <c r="F211" s="63"/>
      <c r="G211" s="63"/>
      <c r="H211" s="63">
        <v>3762253.56</v>
      </c>
      <c r="I211" s="63">
        <v>0</v>
      </c>
      <c r="J211" s="63">
        <v>0</v>
      </c>
      <c r="K211" s="63"/>
      <c r="L211" s="63"/>
      <c r="M211" s="63">
        <v>0</v>
      </c>
      <c r="N211" s="63">
        <v>0</v>
      </c>
      <c r="O211" s="63">
        <v>0</v>
      </c>
      <c r="P211" s="55"/>
      <c r="Q211" s="63"/>
      <c r="R211" s="63">
        <v>257737.82</v>
      </c>
      <c r="S211" s="63">
        <v>4000</v>
      </c>
      <c r="T211" s="64">
        <v>649132.133614194</v>
      </c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</row>
    <row r="212" spans="1:70" x14ac:dyDescent="0.25">
      <c r="A212" s="193">
        <f t="shared" si="24"/>
        <v>193</v>
      </c>
      <c r="B212" s="107">
        <f t="shared" si="25"/>
        <v>5</v>
      </c>
      <c r="C212" s="53" t="s">
        <v>62</v>
      </c>
      <c r="D212" s="107" t="s">
        <v>65</v>
      </c>
      <c r="E212" s="62">
        <f t="shared" si="23"/>
        <v>22371955.108826663</v>
      </c>
      <c r="F212" s="63"/>
      <c r="G212" s="63"/>
      <c r="H212" s="63">
        <v>3766305.47</v>
      </c>
      <c r="I212" s="63">
        <v>0</v>
      </c>
      <c r="J212" s="63">
        <v>0</v>
      </c>
      <c r="K212" s="63"/>
      <c r="L212" s="63"/>
      <c r="M212" s="63">
        <v>0</v>
      </c>
      <c r="N212" s="63">
        <v>0</v>
      </c>
      <c r="O212" s="63">
        <v>0</v>
      </c>
      <c r="P212" s="63">
        <v>17283832.800000001</v>
      </c>
      <c r="Q212" s="63"/>
      <c r="R212" s="63">
        <v>711799.9</v>
      </c>
      <c r="S212" s="63">
        <v>16000</v>
      </c>
      <c r="T212" s="64">
        <v>594016.93882666505</v>
      </c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</row>
    <row r="213" spans="1:70" x14ac:dyDescent="0.25">
      <c r="A213" s="193">
        <f t="shared" si="24"/>
        <v>194</v>
      </c>
      <c r="B213" s="107">
        <f t="shared" si="25"/>
        <v>6</v>
      </c>
      <c r="C213" s="53" t="s">
        <v>62</v>
      </c>
      <c r="D213" s="107" t="s">
        <v>66</v>
      </c>
      <c r="E213" s="62">
        <f t="shared" si="23"/>
        <v>15665948.736056095</v>
      </c>
      <c r="F213" s="63"/>
      <c r="G213" s="180"/>
      <c r="H213" s="63">
        <v>2589897.61</v>
      </c>
      <c r="I213" s="180">
        <v>0</v>
      </c>
      <c r="J213" s="63">
        <v>0</v>
      </c>
      <c r="K213" s="63"/>
      <c r="L213" s="63"/>
      <c r="M213" s="63">
        <v>0</v>
      </c>
      <c r="N213" s="180">
        <v>0</v>
      </c>
      <c r="O213" s="180">
        <v>0</v>
      </c>
      <c r="P213" s="63">
        <v>12127268.4</v>
      </c>
      <c r="Q213" s="63"/>
      <c r="R213" s="63">
        <v>594524.39</v>
      </c>
      <c r="S213" s="63">
        <v>14000</v>
      </c>
      <c r="T213" s="64">
        <v>340258.33605609398</v>
      </c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</row>
    <row r="214" spans="1:70" x14ac:dyDescent="0.25">
      <c r="A214" s="193">
        <f t="shared" si="24"/>
        <v>195</v>
      </c>
      <c r="B214" s="107">
        <f t="shared" si="25"/>
        <v>7</v>
      </c>
      <c r="C214" s="53" t="s">
        <v>71</v>
      </c>
      <c r="D214" s="107" t="s">
        <v>305</v>
      </c>
      <c r="E214" s="62">
        <f t="shared" si="23"/>
        <v>11167541.400366537</v>
      </c>
      <c r="F214" s="63">
        <v>0</v>
      </c>
      <c r="G214" s="63">
        <v>0</v>
      </c>
      <c r="H214" s="63">
        <v>1953253.18</v>
      </c>
      <c r="I214" s="63">
        <v>1982667.17</v>
      </c>
      <c r="J214" s="63">
        <v>0</v>
      </c>
      <c r="K214" s="63"/>
      <c r="L214" s="63"/>
      <c r="M214" s="63">
        <v>0</v>
      </c>
      <c r="N214" s="63">
        <v>0</v>
      </c>
      <c r="O214" s="63">
        <v>6881364.6500000004</v>
      </c>
      <c r="P214" s="63"/>
      <c r="Q214" s="63"/>
      <c r="R214" s="63"/>
      <c r="S214" s="63"/>
      <c r="T214" s="64">
        <f>179832.138797376+170424.261569162</f>
        <v>350256.40036653797</v>
      </c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</row>
    <row r="215" spans="1:70" x14ac:dyDescent="0.25">
      <c r="A215" s="193">
        <f t="shared" si="24"/>
        <v>196</v>
      </c>
      <c r="B215" s="107">
        <f t="shared" si="25"/>
        <v>8</v>
      </c>
      <c r="C215" s="53" t="s">
        <v>75</v>
      </c>
      <c r="D215" s="107" t="s">
        <v>306</v>
      </c>
      <c r="E215" s="110">
        <f t="shared" si="23"/>
        <v>7074398.3346515791</v>
      </c>
      <c r="F215" s="63">
        <v>6547103.7400000002</v>
      </c>
      <c r="G215" s="63">
        <v>0</v>
      </c>
      <c r="H215" s="63"/>
      <c r="I215" s="63">
        <v>0</v>
      </c>
      <c r="J215" s="63">
        <v>0</v>
      </c>
      <c r="K215" s="63"/>
      <c r="L215" s="63"/>
      <c r="M215" s="63">
        <v>0</v>
      </c>
      <c r="N215" s="63">
        <v>0</v>
      </c>
      <c r="O215" s="63">
        <v>0</v>
      </c>
      <c r="P215" s="63">
        <v>0</v>
      </c>
      <c r="Q215" s="63">
        <v>0</v>
      </c>
      <c r="R215" s="63"/>
      <c r="S215" s="63"/>
      <c r="T215" s="64">
        <v>527294.59465157904</v>
      </c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</row>
    <row r="216" spans="1:70" x14ac:dyDescent="0.25">
      <c r="A216" s="193">
        <f t="shared" si="24"/>
        <v>197</v>
      </c>
      <c r="B216" s="107">
        <f t="shared" si="25"/>
        <v>9</v>
      </c>
      <c r="C216" s="53" t="s">
        <v>75</v>
      </c>
      <c r="D216" s="107" t="s">
        <v>82</v>
      </c>
      <c r="E216" s="110">
        <f t="shared" si="23"/>
        <v>4422364.3862754898</v>
      </c>
      <c r="F216" s="63"/>
      <c r="G216" s="63"/>
      <c r="H216" s="63">
        <v>0</v>
      </c>
      <c r="I216" s="63"/>
      <c r="J216" s="63">
        <v>0</v>
      </c>
      <c r="K216" s="63"/>
      <c r="L216" s="63"/>
      <c r="M216" s="63">
        <v>0</v>
      </c>
      <c r="N216" s="63">
        <v>0</v>
      </c>
      <c r="O216" s="63"/>
      <c r="P216" s="63">
        <v>4078338.76</v>
      </c>
      <c r="Q216" s="63">
        <v>0</v>
      </c>
      <c r="R216" s="63"/>
      <c r="S216" s="63"/>
      <c r="T216" s="64">
        <v>344025.62627548998</v>
      </c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</row>
    <row r="217" spans="1:70" x14ac:dyDescent="0.25">
      <c r="A217" s="193">
        <f t="shared" si="24"/>
        <v>198</v>
      </c>
      <c r="B217" s="107">
        <f t="shared" si="25"/>
        <v>10</v>
      </c>
      <c r="C217" s="53" t="s">
        <v>75</v>
      </c>
      <c r="D217" s="107" t="s">
        <v>307</v>
      </c>
      <c r="E217" s="110">
        <f t="shared" si="23"/>
        <v>4943819.3844785411</v>
      </c>
      <c r="F217" s="63">
        <v>1431154.42</v>
      </c>
      <c r="G217" s="63">
        <v>676787.87</v>
      </c>
      <c r="H217" s="63"/>
      <c r="I217" s="63">
        <v>524666.75</v>
      </c>
      <c r="J217" s="63">
        <v>0</v>
      </c>
      <c r="K217" s="63"/>
      <c r="L217" s="63"/>
      <c r="M217" s="63">
        <v>0</v>
      </c>
      <c r="N217" s="63">
        <v>2019838.52</v>
      </c>
      <c r="O217" s="63">
        <v>0</v>
      </c>
      <c r="P217" s="63">
        <v>0</v>
      </c>
      <c r="Q217" s="63">
        <v>0</v>
      </c>
      <c r="R217" s="63"/>
      <c r="S217" s="63"/>
      <c r="T217" s="64">
        <v>291371.82447854098</v>
      </c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</row>
    <row r="218" spans="1:70" x14ac:dyDescent="0.25">
      <c r="A218" s="193">
        <f t="shared" si="24"/>
        <v>199</v>
      </c>
      <c r="B218" s="107">
        <f t="shared" si="25"/>
        <v>11</v>
      </c>
      <c r="C218" s="53" t="s">
        <v>75</v>
      </c>
      <c r="D218" s="107" t="s">
        <v>84</v>
      </c>
      <c r="E218" s="62">
        <f t="shared" si="23"/>
        <v>1972053.59645614</v>
      </c>
      <c r="F218" s="63">
        <v>1440738</v>
      </c>
      <c r="G218" s="63"/>
      <c r="H218" s="63"/>
      <c r="I218" s="63">
        <v>0</v>
      </c>
      <c r="J218" s="63">
        <v>0</v>
      </c>
      <c r="K218" s="63"/>
      <c r="L218" s="63"/>
      <c r="M218" s="63"/>
      <c r="N218" s="63"/>
      <c r="O218" s="63">
        <v>0</v>
      </c>
      <c r="P218" s="63">
        <v>0</v>
      </c>
      <c r="Q218" s="63">
        <v>0</v>
      </c>
      <c r="R218" s="63"/>
      <c r="S218" s="63"/>
      <c r="T218" s="64">
        <v>531315.59645614005</v>
      </c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</row>
    <row r="219" spans="1:70" x14ac:dyDescent="0.25">
      <c r="A219" s="193">
        <f t="shared" si="24"/>
        <v>200</v>
      </c>
      <c r="B219" s="107">
        <f t="shared" si="25"/>
        <v>12</v>
      </c>
      <c r="C219" s="53" t="s">
        <v>75</v>
      </c>
      <c r="D219" s="107" t="s">
        <v>308</v>
      </c>
      <c r="E219" s="62">
        <f t="shared" si="23"/>
        <v>1319581.1035245289</v>
      </c>
      <c r="F219" s="63"/>
      <c r="G219" s="63">
        <v>598205.16</v>
      </c>
      <c r="H219" s="63">
        <v>0</v>
      </c>
      <c r="I219" s="63">
        <v>649302.38</v>
      </c>
      <c r="J219" s="63">
        <v>0</v>
      </c>
      <c r="K219" s="63"/>
      <c r="L219" s="63"/>
      <c r="M219" s="63">
        <v>0</v>
      </c>
      <c r="N219" s="63">
        <v>0</v>
      </c>
      <c r="O219" s="63">
        <v>0</v>
      </c>
      <c r="P219" s="63">
        <v>0</v>
      </c>
      <c r="Q219" s="63">
        <v>0</v>
      </c>
      <c r="R219" s="63"/>
      <c r="S219" s="63"/>
      <c r="T219" s="64">
        <v>72073.563524528799</v>
      </c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</row>
    <row r="220" spans="1:70" x14ac:dyDescent="0.25">
      <c r="A220" s="193">
        <f t="shared" si="24"/>
        <v>201</v>
      </c>
      <c r="B220" s="107">
        <f t="shared" si="25"/>
        <v>13</v>
      </c>
      <c r="C220" s="53" t="s">
        <v>75</v>
      </c>
      <c r="D220" s="107" t="s">
        <v>92</v>
      </c>
      <c r="E220" s="62">
        <f t="shared" si="23"/>
        <v>5120371.9189347345</v>
      </c>
      <c r="F220" s="63">
        <v>2785412.36</v>
      </c>
      <c r="G220" s="63"/>
      <c r="H220" s="63"/>
      <c r="I220" s="63">
        <v>1797583.57</v>
      </c>
      <c r="J220" s="63">
        <v>0</v>
      </c>
      <c r="K220" s="63"/>
      <c r="L220" s="63"/>
      <c r="M220" s="63">
        <v>0</v>
      </c>
      <c r="N220" s="63">
        <v>0</v>
      </c>
      <c r="O220" s="63">
        <v>0</v>
      </c>
      <c r="P220" s="63">
        <v>0</v>
      </c>
      <c r="Q220" s="63">
        <v>0</v>
      </c>
      <c r="R220" s="63"/>
      <c r="S220" s="63"/>
      <c r="T220" s="64">
        <v>537375.98893473495</v>
      </c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</row>
    <row r="221" spans="1:70" x14ac:dyDescent="0.25">
      <c r="A221" s="193">
        <f t="shared" si="24"/>
        <v>202</v>
      </c>
      <c r="B221" s="107">
        <f t="shared" si="25"/>
        <v>14</v>
      </c>
      <c r="C221" s="53" t="s">
        <v>75</v>
      </c>
      <c r="D221" s="107" t="s">
        <v>95</v>
      </c>
      <c r="E221" s="62">
        <f t="shared" si="23"/>
        <v>1185276.1114287241</v>
      </c>
      <c r="F221" s="63"/>
      <c r="G221" s="63">
        <v>0</v>
      </c>
      <c r="H221" s="63">
        <v>0</v>
      </c>
      <c r="I221" s="63">
        <v>998067.65</v>
      </c>
      <c r="J221" s="63">
        <v>0</v>
      </c>
      <c r="K221" s="63"/>
      <c r="L221" s="63"/>
      <c r="M221" s="63">
        <v>0</v>
      </c>
      <c r="N221" s="63">
        <v>0</v>
      </c>
      <c r="O221" s="63"/>
      <c r="P221" s="63">
        <v>0</v>
      </c>
      <c r="Q221" s="63">
        <v>0</v>
      </c>
      <c r="R221" s="63"/>
      <c r="S221" s="63"/>
      <c r="T221" s="64">
        <v>187208.461428724</v>
      </c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</row>
    <row r="222" spans="1:70" x14ac:dyDescent="0.25">
      <c r="A222" s="193">
        <f t="shared" si="24"/>
        <v>203</v>
      </c>
      <c r="B222" s="107">
        <f t="shared" si="25"/>
        <v>15</v>
      </c>
      <c r="C222" s="53" t="s">
        <v>75</v>
      </c>
      <c r="D222" s="107" t="s">
        <v>104</v>
      </c>
      <c r="E222" s="62">
        <f t="shared" si="23"/>
        <v>9298826.2293740809</v>
      </c>
      <c r="F222" s="63">
        <v>0</v>
      </c>
      <c r="G222" s="63">
        <v>0</v>
      </c>
      <c r="H222" s="63">
        <v>0</v>
      </c>
      <c r="I222" s="63">
        <v>0</v>
      </c>
      <c r="J222" s="63">
        <v>0</v>
      </c>
      <c r="K222" s="63"/>
      <c r="L222" s="63"/>
      <c r="M222" s="63">
        <v>0</v>
      </c>
      <c r="N222" s="63">
        <v>8234860.9800000004</v>
      </c>
      <c r="O222" s="63">
        <v>0</v>
      </c>
      <c r="P222" s="63"/>
      <c r="Q222" s="63">
        <v>0</v>
      </c>
      <c r="R222" s="63"/>
      <c r="S222" s="63"/>
      <c r="T222" s="64">
        <v>1063965.24937408</v>
      </c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</row>
    <row r="223" spans="1:70" x14ac:dyDescent="0.25">
      <c r="A223" s="193">
        <f t="shared" si="24"/>
        <v>204</v>
      </c>
      <c r="B223" s="107">
        <f t="shared" si="25"/>
        <v>16</v>
      </c>
      <c r="C223" s="53" t="s">
        <v>75</v>
      </c>
      <c r="D223" s="107" t="s">
        <v>309</v>
      </c>
      <c r="E223" s="110">
        <f t="shared" si="23"/>
        <v>9813222.131577</v>
      </c>
      <c r="F223" s="63"/>
      <c r="G223" s="63">
        <v>0</v>
      </c>
      <c r="H223" s="63">
        <v>0</v>
      </c>
      <c r="I223" s="63"/>
      <c r="J223" s="63">
        <v>0</v>
      </c>
      <c r="K223" s="63"/>
      <c r="M223" s="63">
        <v>0</v>
      </c>
      <c r="N223" s="63">
        <v>8726659.4299999997</v>
      </c>
      <c r="O223" s="63"/>
      <c r="P223" s="63">
        <v>0</v>
      </c>
      <c r="Q223" s="63">
        <v>0</v>
      </c>
      <c r="R223" s="63"/>
      <c r="S223" s="63"/>
      <c r="T223" s="64">
        <v>1086562.7015770001</v>
      </c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</row>
    <row r="224" spans="1:70" x14ac:dyDescent="0.25">
      <c r="A224" s="193">
        <f t="shared" si="24"/>
        <v>205</v>
      </c>
      <c r="B224" s="107">
        <f t="shared" si="25"/>
        <v>17</v>
      </c>
      <c r="C224" s="53" t="s">
        <v>75</v>
      </c>
      <c r="D224" s="107" t="s">
        <v>310</v>
      </c>
      <c r="E224" s="62">
        <f t="shared" si="23"/>
        <v>25904958.490000002</v>
      </c>
      <c r="F224" s="63">
        <v>5599179.5899999999</v>
      </c>
      <c r="G224" s="63">
        <v>4577737.76</v>
      </c>
      <c r="H224" s="63">
        <v>0</v>
      </c>
      <c r="I224" s="63">
        <v>0</v>
      </c>
      <c r="J224" s="63">
        <v>0</v>
      </c>
      <c r="K224" s="63"/>
      <c r="L224" s="63"/>
      <c r="M224" s="63">
        <v>0</v>
      </c>
      <c r="N224" s="63">
        <v>7920633.25</v>
      </c>
      <c r="O224" s="63">
        <v>6914976.7999999998</v>
      </c>
      <c r="P224" s="63">
        <v>0</v>
      </c>
      <c r="Q224" s="63">
        <v>0</v>
      </c>
      <c r="R224" s="63"/>
      <c r="S224" s="63"/>
      <c r="T224" s="64">
        <v>892431.09</v>
      </c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</row>
    <row r="225" spans="1:70" x14ac:dyDescent="0.25">
      <c r="A225" s="193">
        <f t="shared" si="24"/>
        <v>206</v>
      </c>
      <c r="B225" s="107">
        <f t="shared" si="25"/>
        <v>18</v>
      </c>
      <c r="C225" s="53" t="s">
        <v>75</v>
      </c>
      <c r="D225" s="107" t="s">
        <v>311</v>
      </c>
      <c r="E225" s="62">
        <f t="shared" si="23"/>
        <v>4324086.9990356797</v>
      </c>
      <c r="F225" s="63">
        <v>0</v>
      </c>
      <c r="G225" s="63">
        <v>0</v>
      </c>
      <c r="H225" s="63"/>
      <c r="I225" s="63">
        <v>0</v>
      </c>
      <c r="J225" s="63">
        <v>0</v>
      </c>
      <c r="K225" s="63"/>
      <c r="L225" s="63"/>
      <c r="M225" s="63">
        <v>0</v>
      </c>
      <c r="N225" s="63">
        <v>0</v>
      </c>
      <c r="O225" s="63">
        <v>4285501.51</v>
      </c>
      <c r="P225" s="63">
        <v>0</v>
      </c>
      <c r="Q225" s="63">
        <v>0</v>
      </c>
      <c r="R225" s="63"/>
      <c r="S225" s="63"/>
      <c r="T225" s="64">
        <v>38585.4890356795</v>
      </c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</row>
    <row r="226" spans="1:70" x14ac:dyDescent="0.25">
      <c r="A226" s="193">
        <f t="shared" si="24"/>
        <v>207</v>
      </c>
      <c r="B226" s="107">
        <f t="shared" si="25"/>
        <v>19</v>
      </c>
      <c r="C226" s="53" t="s">
        <v>75</v>
      </c>
      <c r="D226" s="107" t="s">
        <v>312</v>
      </c>
      <c r="E226" s="62">
        <f t="shared" si="23"/>
        <v>10248171.670384333</v>
      </c>
      <c r="F226" s="63">
        <v>6213317.0199999996</v>
      </c>
      <c r="G226" s="63">
        <v>0</v>
      </c>
      <c r="H226" s="63"/>
      <c r="I226" s="63">
        <v>3638994.06</v>
      </c>
      <c r="J226" s="63">
        <v>0</v>
      </c>
      <c r="K226" s="63"/>
      <c r="L226" s="63"/>
      <c r="M226" s="63">
        <v>0</v>
      </c>
      <c r="N226" s="63">
        <v>0</v>
      </c>
      <c r="O226" s="63">
        <v>0</v>
      </c>
      <c r="P226" s="63">
        <v>0</v>
      </c>
      <c r="Q226" s="63">
        <v>0</v>
      </c>
      <c r="R226" s="63"/>
      <c r="S226" s="63"/>
      <c r="T226" s="64">
        <v>395860.59038433299</v>
      </c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</row>
    <row r="227" spans="1:70" x14ac:dyDescent="0.25">
      <c r="A227" s="193">
        <f t="shared" si="24"/>
        <v>208</v>
      </c>
      <c r="B227" s="107">
        <f t="shared" si="25"/>
        <v>20</v>
      </c>
      <c r="C227" s="53" t="s">
        <v>75</v>
      </c>
      <c r="D227" s="107" t="s">
        <v>313</v>
      </c>
      <c r="E227" s="62">
        <f t="shared" si="23"/>
        <v>10141593.149027362</v>
      </c>
      <c r="F227" s="63">
        <v>6214077.5499999998</v>
      </c>
      <c r="G227" s="63">
        <v>0</v>
      </c>
      <c r="H227" s="63"/>
      <c r="I227" s="63">
        <v>3534919.74</v>
      </c>
      <c r="J227" s="63">
        <v>0</v>
      </c>
      <c r="K227" s="63"/>
      <c r="L227" s="63"/>
      <c r="M227" s="63">
        <v>0</v>
      </c>
      <c r="N227" s="63">
        <v>0</v>
      </c>
      <c r="O227" s="63">
        <v>0</v>
      </c>
      <c r="P227" s="63">
        <v>0</v>
      </c>
      <c r="Q227" s="63">
        <v>0</v>
      </c>
      <c r="R227" s="63"/>
      <c r="S227" s="63"/>
      <c r="T227" s="64">
        <v>392595.85902736301</v>
      </c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</row>
    <row r="228" spans="1:70" x14ac:dyDescent="0.25">
      <c r="A228" s="193">
        <f t="shared" si="24"/>
        <v>209</v>
      </c>
      <c r="B228" s="107">
        <f t="shared" si="25"/>
        <v>21</v>
      </c>
      <c r="C228" s="53" t="s">
        <v>75</v>
      </c>
      <c r="D228" s="107" t="s">
        <v>314</v>
      </c>
      <c r="E228" s="62">
        <f t="shared" si="23"/>
        <v>10136691.284903776</v>
      </c>
      <c r="F228" s="63">
        <v>6221126</v>
      </c>
      <c r="G228" s="63">
        <v>0</v>
      </c>
      <c r="H228" s="63"/>
      <c r="I228" s="63">
        <v>3521431.66</v>
      </c>
      <c r="J228" s="63">
        <v>0</v>
      </c>
      <c r="K228" s="63"/>
      <c r="L228" s="63"/>
      <c r="M228" s="63">
        <v>0</v>
      </c>
      <c r="N228" s="63">
        <v>0</v>
      </c>
      <c r="O228" s="63">
        <v>0</v>
      </c>
      <c r="P228" s="63">
        <v>0</v>
      </c>
      <c r="Q228" s="63">
        <v>0</v>
      </c>
      <c r="R228" s="63"/>
      <c r="S228" s="63"/>
      <c r="T228" s="64">
        <v>394133.62490377499</v>
      </c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</row>
    <row r="229" spans="1:70" x14ac:dyDescent="0.25">
      <c r="A229" s="193">
        <f t="shared" si="24"/>
        <v>210</v>
      </c>
      <c r="B229" s="107">
        <f t="shared" si="25"/>
        <v>22</v>
      </c>
      <c r="C229" s="53" t="s">
        <v>75</v>
      </c>
      <c r="D229" s="107" t="s">
        <v>315</v>
      </c>
      <c r="E229" s="110">
        <f t="shared" si="23"/>
        <v>10408804.010053556</v>
      </c>
      <c r="F229" s="63">
        <v>0</v>
      </c>
      <c r="G229" s="63">
        <v>0</v>
      </c>
      <c r="H229" s="63">
        <v>0</v>
      </c>
      <c r="I229" s="63">
        <v>0</v>
      </c>
      <c r="J229" s="63">
        <v>0</v>
      </c>
      <c r="K229" s="63"/>
      <c r="L229" s="63"/>
      <c r="M229" s="63">
        <v>0</v>
      </c>
      <c r="N229" s="63">
        <v>0</v>
      </c>
      <c r="O229" s="63">
        <v>0</v>
      </c>
      <c r="P229" s="63">
        <v>9867857.1400000006</v>
      </c>
      <c r="Q229" s="63">
        <v>0</v>
      </c>
      <c r="R229" s="63">
        <v>102965.05</v>
      </c>
      <c r="S229" s="63">
        <v>24000</v>
      </c>
      <c r="T229" s="64">
        <v>413981.82005355501</v>
      </c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</row>
    <row r="230" spans="1:70" x14ac:dyDescent="0.25">
      <c r="A230" s="193">
        <f t="shared" si="24"/>
        <v>211</v>
      </c>
      <c r="B230" s="107">
        <f t="shared" si="25"/>
        <v>23</v>
      </c>
      <c r="C230" s="53" t="s">
        <v>75</v>
      </c>
      <c r="D230" s="107" t="s">
        <v>316</v>
      </c>
      <c r="E230" s="110">
        <f t="shared" si="23"/>
        <v>4255569.1938008741</v>
      </c>
      <c r="F230" s="63"/>
      <c r="G230" s="63">
        <v>2639754.41</v>
      </c>
      <c r="H230" s="63">
        <v>0</v>
      </c>
      <c r="I230" s="63">
        <v>1374155.36</v>
      </c>
      <c r="J230" s="63">
        <v>0</v>
      </c>
      <c r="K230" s="63"/>
      <c r="L230" s="63"/>
      <c r="M230" s="63">
        <v>0</v>
      </c>
      <c r="N230" s="63">
        <v>0</v>
      </c>
      <c r="O230" s="63">
        <v>0</v>
      </c>
      <c r="P230" s="63">
        <v>0</v>
      </c>
      <c r="Q230" s="63">
        <v>0</v>
      </c>
      <c r="R230" s="63"/>
      <c r="S230" s="63"/>
      <c r="T230" s="64">
        <v>241659.42380087401</v>
      </c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</row>
    <row r="231" spans="1:70" x14ac:dyDescent="0.25">
      <c r="A231" s="193">
        <f t="shared" si="24"/>
        <v>212</v>
      </c>
      <c r="B231" s="107">
        <f t="shared" si="25"/>
        <v>24</v>
      </c>
      <c r="C231" s="53" t="s">
        <v>75</v>
      </c>
      <c r="D231" s="107" t="s">
        <v>317</v>
      </c>
      <c r="E231" s="62">
        <f t="shared" si="23"/>
        <v>1946581.2631077189</v>
      </c>
      <c r="F231" s="63">
        <v>0</v>
      </c>
      <c r="G231" s="63">
        <v>0</v>
      </c>
      <c r="H231" s="63"/>
      <c r="I231" s="63">
        <v>1740087.49</v>
      </c>
      <c r="J231" s="63">
        <v>0</v>
      </c>
      <c r="K231" s="63"/>
      <c r="L231" s="63"/>
      <c r="M231" s="63">
        <v>0</v>
      </c>
      <c r="N231" s="63">
        <v>0</v>
      </c>
      <c r="O231" s="63">
        <v>0</v>
      </c>
      <c r="P231" s="63">
        <v>0</v>
      </c>
      <c r="Q231" s="63">
        <v>0</v>
      </c>
      <c r="R231" s="63">
        <v>93622.89</v>
      </c>
      <c r="S231" s="63">
        <v>16996</v>
      </c>
      <c r="T231" s="64">
        <v>95874.883107719099</v>
      </c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</row>
    <row r="232" spans="1:70" x14ac:dyDescent="0.25">
      <c r="A232" s="193">
        <f t="shared" si="24"/>
        <v>213</v>
      </c>
      <c r="B232" s="107">
        <f t="shared" si="25"/>
        <v>25</v>
      </c>
      <c r="C232" s="53" t="s">
        <v>108</v>
      </c>
      <c r="D232" s="107" t="s">
        <v>318</v>
      </c>
      <c r="E232" s="62">
        <f t="shared" si="23"/>
        <v>5122851.7011479996</v>
      </c>
      <c r="F232" s="63">
        <v>0</v>
      </c>
      <c r="G232" s="63">
        <v>0</v>
      </c>
      <c r="H232" s="63">
        <v>0</v>
      </c>
      <c r="I232" s="63">
        <v>0</v>
      </c>
      <c r="J232" s="63">
        <v>0</v>
      </c>
      <c r="K232" s="63"/>
      <c r="L232" s="63"/>
      <c r="M232" s="63">
        <v>0</v>
      </c>
      <c r="N232" s="63">
        <v>4650900</v>
      </c>
      <c r="O232" s="63">
        <v>0</v>
      </c>
      <c r="P232" s="63">
        <v>0</v>
      </c>
      <c r="Q232" s="63">
        <v>0</v>
      </c>
      <c r="R232" s="63">
        <v>101648.88</v>
      </c>
      <c r="S232" s="63">
        <v>24000</v>
      </c>
      <c r="T232" s="64">
        <v>346302.82114800002</v>
      </c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</row>
    <row r="233" spans="1:70" x14ac:dyDescent="0.25">
      <c r="A233" s="193">
        <f t="shared" si="24"/>
        <v>214</v>
      </c>
      <c r="B233" s="107">
        <f t="shared" si="25"/>
        <v>26</v>
      </c>
      <c r="C233" s="53" t="s">
        <v>108</v>
      </c>
      <c r="D233" s="107" t="s">
        <v>110</v>
      </c>
      <c r="E233" s="62">
        <f t="shared" si="23"/>
        <v>1497999.71</v>
      </c>
      <c r="F233" s="63"/>
      <c r="G233" s="63">
        <v>0</v>
      </c>
      <c r="H233" s="63"/>
      <c r="I233" s="63">
        <v>1320750.78</v>
      </c>
      <c r="J233" s="63">
        <v>0</v>
      </c>
      <c r="K233" s="63"/>
      <c r="L233" s="63"/>
      <c r="M233" s="63">
        <v>0</v>
      </c>
      <c r="N233" s="63"/>
      <c r="O233" s="63">
        <v>0</v>
      </c>
      <c r="P233" s="63">
        <v>0</v>
      </c>
      <c r="Q233" s="63">
        <v>0</v>
      </c>
      <c r="R233" s="63">
        <v>20056.46</v>
      </c>
      <c r="S233" s="63">
        <v>6000</v>
      </c>
      <c r="T233" s="64">
        <v>151192.47</v>
      </c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</row>
    <row r="234" spans="1:70" x14ac:dyDescent="0.25">
      <c r="A234" s="193">
        <f t="shared" si="24"/>
        <v>215</v>
      </c>
      <c r="B234" s="107">
        <f t="shared" si="25"/>
        <v>27</v>
      </c>
      <c r="C234" s="53" t="s">
        <v>108</v>
      </c>
      <c r="D234" s="107" t="s">
        <v>319</v>
      </c>
      <c r="E234" s="110">
        <f t="shared" si="23"/>
        <v>3781760.8884459999</v>
      </c>
      <c r="F234" s="63">
        <v>0</v>
      </c>
      <c r="G234" s="63">
        <v>0</v>
      </c>
      <c r="H234" s="63">
        <v>0</v>
      </c>
      <c r="I234" s="63">
        <v>0</v>
      </c>
      <c r="J234" s="63">
        <v>0</v>
      </c>
      <c r="K234" s="63"/>
      <c r="L234" s="63"/>
      <c r="M234" s="63">
        <v>0</v>
      </c>
      <c r="N234" s="63">
        <v>3602673.51</v>
      </c>
      <c r="O234" s="63">
        <v>0</v>
      </c>
      <c r="P234" s="63">
        <v>0</v>
      </c>
      <c r="Q234" s="63">
        <v>0</v>
      </c>
      <c r="R234" s="63">
        <v>85155.99</v>
      </c>
      <c r="S234" s="63">
        <v>24000</v>
      </c>
      <c r="T234" s="64">
        <v>69931.388445999997</v>
      </c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</row>
    <row r="235" spans="1:70" x14ac:dyDescent="0.25">
      <c r="A235" s="193">
        <f t="shared" si="24"/>
        <v>216</v>
      </c>
      <c r="B235" s="107">
        <f t="shared" si="25"/>
        <v>28</v>
      </c>
      <c r="C235" s="53" t="s">
        <v>108</v>
      </c>
      <c r="D235" s="107" t="s">
        <v>320</v>
      </c>
      <c r="E235" s="110">
        <f t="shared" si="23"/>
        <v>534790.82653299998</v>
      </c>
      <c r="F235" s="63"/>
      <c r="G235" s="63">
        <v>0</v>
      </c>
      <c r="H235" s="63">
        <v>522174.08</v>
      </c>
      <c r="I235" s="63"/>
      <c r="J235" s="63"/>
      <c r="K235" s="63"/>
      <c r="L235" s="63"/>
      <c r="M235" s="63">
        <v>0</v>
      </c>
      <c r="N235" s="63">
        <v>0</v>
      </c>
      <c r="O235" s="63">
        <v>0</v>
      </c>
      <c r="P235" s="63">
        <v>0</v>
      </c>
      <c r="Q235" s="63">
        <v>0</v>
      </c>
      <c r="R235" s="63"/>
      <c r="S235" s="63"/>
      <c r="T235" s="64">
        <v>12616.746533</v>
      </c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</row>
    <row r="236" spans="1:70" x14ac:dyDescent="0.25">
      <c r="A236" s="193">
        <f t="shared" si="24"/>
        <v>217</v>
      </c>
      <c r="B236" s="107">
        <f t="shared" si="25"/>
        <v>29</v>
      </c>
      <c r="C236" s="53" t="s">
        <v>108</v>
      </c>
      <c r="D236" s="107" t="s">
        <v>321</v>
      </c>
      <c r="E236" s="110">
        <f t="shared" si="23"/>
        <v>535935.30568992009</v>
      </c>
      <c r="F236" s="63"/>
      <c r="G236" s="63">
        <v>0</v>
      </c>
      <c r="H236" s="63">
        <v>525018.30000000005</v>
      </c>
      <c r="I236" s="63"/>
      <c r="J236" s="63"/>
      <c r="K236" s="63"/>
      <c r="L236" s="63"/>
      <c r="M236" s="63">
        <v>0</v>
      </c>
      <c r="N236" s="63">
        <v>0</v>
      </c>
      <c r="O236" s="63">
        <v>0</v>
      </c>
      <c r="P236" s="63">
        <v>0</v>
      </c>
      <c r="Q236" s="63">
        <v>0</v>
      </c>
      <c r="R236" s="63"/>
      <c r="S236" s="63"/>
      <c r="T236" s="64">
        <v>10917.005689920001</v>
      </c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</row>
    <row r="237" spans="1:70" x14ac:dyDescent="0.25">
      <c r="A237" s="193">
        <f t="shared" si="24"/>
        <v>218</v>
      </c>
      <c r="B237" s="107">
        <f t="shared" si="25"/>
        <v>30</v>
      </c>
      <c r="C237" s="53" t="s">
        <v>108</v>
      </c>
      <c r="D237" s="107" t="s">
        <v>322</v>
      </c>
      <c r="E237" s="110">
        <f t="shared" si="23"/>
        <v>539206.21462941996</v>
      </c>
      <c r="F237" s="63"/>
      <c r="G237" s="63"/>
      <c r="H237" s="63">
        <v>530931.97</v>
      </c>
      <c r="I237" s="63">
        <v>0</v>
      </c>
      <c r="J237" s="63">
        <v>0</v>
      </c>
      <c r="K237" s="63"/>
      <c r="L237" s="63"/>
      <c r="M237" s="63"/>
      <c r="N237" s="63"/>
      <c r="O237" s="63"/>
      <c r="P237" s="63"/>
      <c r="Q237" s="63"/>
      <c r="R237" s="63"/>
      <c r="S237" s="63"/>
      <c r="T237" s="64">
        <v>8274.2446294199999</v>
      </c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</row>
    <row r="238" spans="1:70" x14ac:dyDescent="0.25">
      <c r="A238" s="193">
        <f t="shared" si="24"/>
        <v>219</v>
      </c>
      <c r="B238" s="107">
        <f t="shared" si="25"/>
        <v>31</v>
      </c>
      <c r="C238" s="53" t="s">
        <v>108</v>
      </c>
      <c r="D238" s="107" t="s">
        <v>323</v>
      </c>
      <c r="E238" s="110">
        <f t="shared" si="23"/>
        <v>664526.48936964001</v>
      </c>
      <c r="F238" s="63"/>
      <c r="G238" s="63">
        <v>0</v>
      </c>
      <c r="H238" s="63">
        <v>620897.1</v>
      </c>
      <c r="I238" s="63"/>
      <c r="J238" s="63">
        <v>0</v>
      </c>
      <c r="K238" s="63"/>
      <c r="L238" s="63"/>
      <c r="M238" s="63">
        <v>0</v>
      </c>
      <c r="N238" s="63">
        <v>0</v>
      </c>
      <c r="O238" s="63">
        <v>0</v>
      </c>
      <c r="P238" s="63">
        <v>0</v>
      </c>
      <c r="Q238" s="63">
        <v>0</v>
      </c>
      <c r="R238" s="63"/>
      <c r="S238" s="63"/>
      <c r="T238" s="64">
        <v>43629.389369639997</v>
      </c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</row>
    <row r="239" spans="1:70" x14ac:dyDescent="0.25">
      <c r="A239" s="193">
        <f t="shared" si="24"/>
        <v>220</v>
      </c>
      <c r="B239" s="107">
        <f t="shared" si="25"/>
        <v>32</v>
      </c>
      <c r="C239" s="53" t="s">
        <v>108</v>
      </c>
      <c r="D239" s="107" t="s">
        <v>324</v>
      </c>
      <c r="E239" s="110">
        <f t="shared" si="23"/>
        <v>21542120.846304532</v>
      </c>
      <c r="F239" s="63"/>
      <c r="G239" s="63"/>
      <c r="H239" s="63"/>
      <c r="I239" s="63"/>
      <c r="J239" s="63"/>
      <c r="K239" s="63"/>
      <c r="L239" s="63"/>
      <c r="M239" s="63">
        <v>20793974.399999999</v>
      </c>
      <c r="N239" s="63"/>
      <c r="O239" s="63"/>
      <c r="P239" s="63"/>
      <c r="Q239" s="63"/>
      <c r="R239" s="63">
        <v>270017.84999999998</v>
      </c>
      <c r="S239" s="63">
        <v>23160</v>
      </c>
      <c r="T239" s="64">
        <v>454968.59630453202</v>
      </c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</row>
    <row r="240" spans="1:70" x14ac:dyDescent="0.25">
      <c r="A240" s="193">
        <f t="shared" si="24"/>
        <v>221</v>
      </c>
      <c r="B240" s="107">
        <f t="shared" si="25"/>
        <v>33</v>
      </c>
      <c r="C240" s="53" t="s">
        <v>108</v>
      </c>
      <c r="D240" s="107" t="s">
        <v>326</v>
      </c>
      <c r="E240" s="110">
        <f t="shared" ref="E240:E271" si="26">SUBTOTAL(9, F240:T240)</f>
        <v>14400365.758211715</v>
      </c>
      <c r="F240" s="63"/>
      <c r="G240" s="63"/>
      <c r="H240" s="63"/>
      <c r="I240" s="63"/>
      <c r="J240" s="63"/>
      <c r="K240" s="63"/>
      <c r="L240" s="63"/>
      <c r="M240" s="63">
        <v>13862649.6</v>
      </c>
      <c r="N240" s="63"/>
      <c r="O240" s="63"/>
      <c r="P240" s="63"/>
      <c r="Q240" s="63"/>
      <c r="R240" s="63">
        <v>211977.82</v>
      </c>
      <c r="S240" s="63">
        <v>23160</v>
      </c>
      <c r="T240" s="64">
        <v>302578.33821171499</v>
      </c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</row>
    <row r="241" spans="1:70" x14ac:dyDescent="0.25">
      <c r="A241" s="193">
        <f t="shared" ref="A241:A272" si="27">+A240+1</f>
        <v>222</v>
      </c>
      <c r="B241" s="107">
        <f t="shared" ref="B241:B272" si="28">+B240+1</f>
        <v>34</v>
      </c>
      <c r="C241" s="53" t="s">
        <v>108</v>
      </c>
      <c r="D241" s="107" t="s">
        <v>327</v>
      </c>
      <c r="E241" s="110">
        <f t="shared" si="26"/>
        <v>16934031.527663801</v>
      </c>
      <c r="F241" s="55"/>
      <c r="G241" s="63"/>
      <c r="H241" s="63">
        <v>2398261.2000000002</v>
      </c>
      <c r="I241" s="63"/>
      <c r="J241" s="63"/>
      <c r="K241" s="63"/>
      <c r="L241" s="63"/>
      <c r="M241" s="63">
        <v>0</v>
      </c>
      <c r="N241" s="63">
        <v>14009088.380000001</v>
      </c>
      <c r="O241" s="63">
        <v>0</v>
      </c>
      <c r="P241" s="63">
        <v>0</v>
      </c>
      <c r="Q241" s="63">
        <v>0</v>
      </c>
      <c r="R241" s="63">
        <v>339099.7</v>
      </c>
      <c r="S241" s="63">
        <v>9600</v>
      </c>
      <c r="T241" s="64">
        <v>177982.24766379999</v>
      </c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</row>
    <row r="242" spans="1:70" x14ac:dyDescent="0.25">
      <c r="A242" s="193">
        <f t="shared" si="27"/>
        <v>223</v>
      </c>
      <c r="B242" s="107">
        <f t="shared" si="28"/>
        <v>35</v>
      </c>
      <c r="C242" s="53" t="s">
        <v>108</v>
      </c>
      <c r="D242" s="107" t="s">
        <v>328</v>
      </c>
      <c r="E242" s="62">
        <f t="shared" si="26"/>
        <v>9396767.4727659058</v>
      </c>
      <c r="F242" s="63">
        <v>0</v>
      </c>
      <c r="G242" s="63">
        <v>0</v>
      </c>
      <c r="H242" s="63">
        <v>0</v>
      </c>
      <c r="I242" s="63">
        <v>0</v>
      </c>
      <c r="J242" s="63">
        <v>0</v>
      </c>
      <c r="K242" s="63"/>
      <c r="L242" s="63"/>
      <c r="M242" s="63">
        <v>0</v>
      </c>
      <c r="N242" s="63">
        <v>8882109.8399999999</v>
      </c>
      <c r="O242" s="63">
        <v>0</v>
      </c>
      <c r="P242" s="63">
        <v>0</v>
      </c>
      <c r="Q242" s="63">
        <v>0</v>
      </c>
      <c r="R242" s="63">
        <v>144246.84530748599</v>
      </c>
      <c r="S242" s="63">
        <v>24000</v>
      </c>
      <c r="T242" s="64">
        <v>346410.78745841997</v>
      </c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</row>
    <row r="243" spans="1:70" s="69" customFormat="1" x14ac:dyDescent="0.25">
      <c r="A243" s="193">
        <f t="shared" si="27"/>
        <v>224</v>
      </c>
      <c r="B243" s="107">
        <f t="shared" si="28"/>
        <v>36</v>
      </c>
      <c r="C243" s="53" t="s">
        <v>108</v>
      </c>
      <c r="D243" s="107" t="s">
        <v>329</v>
      </c>
      <c r="E243" s="62">
        <f t="shared" si="26"/>
        <v>3508963.12</v>
      </c>
      <c r="F243" s="63">
        <v>3508963.12</v>
      </c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4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</row>
    <row r="244" spans="1:70" x14ac:dyDescent="0.25">
      <c r="A244" s="193">
        <f t="shared" si="27"/>
        <v>225</v>
      </c>
      <c r="B244" s="107">
        <f t="shared" si="28"/>
        <v>37</v>
      </c>
      <c r="C244" s="53" t="s">
        <v>108</v>
      </c>
      <c r="D244" s="107" t="s">
        <v>126</v>
      </c>
      <c r="E244" s="110">
        <f t="shared" si="26"/>
        <v>14286136.425456619</v>
      </c>
      <c r="F244" s="63">
        <v>4434982.51</v>
      </c>
      <c r="G244" s="63"/>
      <c r="H244" s="63"/>
      <c r="I244" s="63"/>
      <c r="J244" s="63"/>
      <c r="K244" s="63"/>
      <c r="L244" s="63"/>
      <c r="M244" s="63">
        <v>0</v>
      </c>
      <c r="N244" s="63">
        <v>9355781.2799999993</v>
      </c>
      <c r="O244" s="63">
        <v>0</v>
      </c>
      <c r="P244" s="63">
        <v>0</v>
      </c>
      <c r="Q244" s="63">
        <v>0</v>
      </c>
      <c r="R244" s="63"/>
      <c r="S244" s="63"/>
      <c r="T244" s="64">
        <v>495372.63545662002</v>
      </c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</row>
    <row r="245" spans="1:70" x14ac:dyDescent="0.25">
      <c r="A245" s="193">
        <f t="shared" si="27"/>
        <v>226</v>
      </c>
      <c r="B245" s="107">
        <f t="shared" si="28"/>
        <v>38</v>
      </c>
      <c r="C245" s="53" t="s">
        <v>108</v>
      </c>
      <c r="D245" s="107" t="s">
        <v>128</v>
      </c>
      <c r="E245" s="62">
        <f t="shared" si="26"/>
        <v>1079116.94161744</v>
      </c>
      <c r="F245" s="63"/>
      <c r="G245" s="63"/>
      <c r="H245" s="63"/>
      <c r="I245" s="63"/>
      <c r="J245" s="63">
        <v>869774.96</v>
      </c>
      <c r="K245" s="63"/>
      <c r="L245" s="63"/>
      <c r="M245" s="63">
        <v>0</v>
      </c>
      <c r="N245" s="63">
        <v>0</v>
      </c>
      <c r="O245" s="63">
        <v>0</v>
      </c>
      <c r="P245" s="63">
        <v>0</v>
      </c>
      <c r="Q245" s="63">
        <v>0</v>
      </c>
      <c r="R245" s="63"/>
      <c r="S245" s="63"/>
      <c r="T245" s="64">
        <v>209341.98161744</v>
      </c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</row>
    <row r="246" spans="1:70" x14ac:dyDescent="0.25">
      <c r="A246" s="193">
        <f t="shared" si="27"/>
        <v>227</v>
      </c>
      <c r="B246" s="107">
        <f t="shared" si="28"/>
        <v>39</v>
      </c>
      <c r="C246" s="53" t="s">
        <v>108</v>
      </c>
      <c r="D246" s="107" t="s">
        <v>119</v>
      </c>
      <c r="E246" s="62">
        <f t="shared" si="26"/>
        <v>2788244.6345060002</v>
      </c>
      <c r="F246" s="63"/>
      <c r="G246" s="63"/>
      <c r="H246" s="63">
        <v>1620199.79</v>
      </c>
      <c r="I246" s="63"/>
      <c r="J246" s="63"/>
      <c r="K246" s="63"/>
      <c r="L246" s="63"/>
      <c r="M246" s="63">
        <v>0</v>
      </c>
      <c r="N246" s="63"/>
      <c r="O246" s="63"/>
      <c r="P246" s="63"/>
      <c r="Q246" s="63"/>
      <c r="R246" s="63"/>
      <c r="S246" s="63"/>
      <c r="T246" s="64">
        <v>1168044.8445059999</v>
      </c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</row>
    <row r="247" spans="1:70" x14ac:dyDescent="0.25">
      <c r="A247" s="193">
        <f t="shared" si="27"/>
        <v>228</v>
      </c>
      <c r="B247" s="107">
        <f t="shared" si="28"/>
        <v>40</v>
      </c>
      <c r="C247" s="53" t="s">
        <v>108</v>
      </c>
      <c r="D247" s="107" t="s">
        <v>330</v>
      </c>
      <c r="E247" s="110">
        <f t="shared" si="26"/>
        <v>4379288.2758488804</v>
      </c>
      <c r="F247" s="63"/>
      <c r="G247" s="63"/>
      <c r="H247" s="63">
        <v>1021002.86</v>
      </c>
      <c r="I247" s="63"/>
      <c r="J247" s="63">
        <v>0</v>
      </c>
      <c r="K247" s="63"/>
      <c r="L247" s="63"/>
      <c r="M247" s="63">
        <v>0</v>
      </c>
      <c r="N247" s="63"/>
      <c r="O247" s="63">
        <v>0</v>
      </c>
      <c r="P247" s="63">
        <v>3268741.67</v>
      </c>
      <c r="Q247" s="63"/>
      <c r="R247" s="63"/>
      <c r="S247" s="63"/>
      <c r="T247" s="64">
        <v>89543.745848880004</v>
      </c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</row>
    <row r="248" spans="1:70" x14ac:dyDescent="0.25">
      <c r="A248" s="193">
        <f t="shared" si="27"/>
        <v>229</v>
      </c>
      <c r="B248" s="107">
        <f t="shared" si="28"/>
        <v>41</v>
      </c>
      <c r="C248" s="53" t="s">
        <v>108</v>
      </c>
      <c r="D248" s="107" t="s">
        <v>129</v>
      </c>
      <c r="E248" s="62">
        <f t="shared" si="26"/>
        <v>22180003.614216622</v>
      </c>
      <c r="F248" s="63"/>
      <c r="G248" s="63">
        <v>0</v>
      </c>
      <c r="H248" s="63"/>
      <c r="I248" s="63"/>
      <c r="J248" s="63">
        <v>0</v>
      </c>
      <c r="K248" s="63"/>
      <c r="L248" s="63"/>
      <c r="M248" s="63">
        <v>0</v>
      </c>
      <c r="N248" s="63"/>
      <c r="O248" s="63">
        <v>0</v>
      </c>
      <c r="P248" s="63">
        <v>21288932.280000001</v>
      </c>
      <c r="Q248" s="63">
        <v>0</v>
      </c>
      <c r="R248" s="63"/>
      <c r="S248" s="63"/>
      <c r="T248" s="64">
        <v>891071.33421661996</v>
      </c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</row>
    <row r="249" spans="1:70" x14ac:dyDescent="0.25">
      <c r="A249" s="193">
        <f t="shared" si="27"/>
        <v>230</v>
      </c>
      <c r="B249" s="107">
        <f t="shared" si="28"/>
        <v>42</v>
      </c>
      <c r="C249" s="53" t="s">
        <v>108</v>
      </c>
      <c r="D249" s="107" t="s">
        <v>130</v>
      </c>
      <c r="E249" s="62">
        <f t="shared" si="26"/>
        <v>6757401.9974930603</v>
      </c>
      <c r="F249" s="63">
        <v>3795804.42</v>
      </c>
      <c r="G249" s="63">
        <v>0</v>
      </c>
      <c r="H249" s="63"/>
      <c r="I249" s="63">
        <v>2422165.88</v>
      </c>
      <c r="J249" s="63">
        <v>0</v>
      </c>
      <c r="K249" s="63"/>
      <c r="L249" s="63"/>
      <c r="M249" s="63">
        <v>0</v>
      </c>
      <c r="N249" s="63"/>
      <c r="O249" s="63">
        <v>0</v>
      </c>
      <c r="P249" s="63"/>
      <c r="Q249" s="63">
        <v>0</v>
      </c>
      <c r="R249" s="63"/>
      <c r="S249" s="63"/>
      <c r="T249" s="64">
        <v>539431.69749306003</v>
      </c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</row>
    <row r="250" spans="1:70" x14ac:dyDescent="0.25">
      <c r="A250" s="193">
        <f t="shared" si="27"/>
        <v>231</v>
      </c>
      <c r="B250" s="107">
        <f t="shared" si="28"/>
        <v>43</v>
      </c>
      <c r="C250" s="53" t="s">
        <v>108</v>
      </c>
      <c r="D250" s="107" t="s">
        <v>131</v>
      </c>
      <c r="E250" s="62">
        <f t="shared" si="26"/>
        <v>3089086.0895791803</v>
      </c>
      <c r="F250" s="63"/>
      <c r="G250" s="63">
        <v>0</v>
      </c>
      <c r="H250" s="63"/>
      <c r="I250" s="63">
        <v>2451411.64</v>
      </c>
      <c r="J250" s="63"/>
      <c r="K250" s="63"/>
      <c r="L250" s="63"/>
      <c r="M250" s="63">
        <v>0</v>
      </c>
      <c r="N250" s="63"/>
      <c r="O250" s="63">
        <v>0</v>
      </c>
      <c r="P250" s="63"/>
      <c r="Q250" s="63">
        <v>0</v>
      </c>
      <c r="R250" s="63">
        <v>96378.22</v>
      </c>
      <c r="S250" s="63">
        <v>6000</v>
      </c>
      <c r="T250" s="64">
        <v>535296.22957918001</v>
      </c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</row>
    <row r="251" spans="1:70" x14ac:dyDescent="0.25">
      <c r="A251" s="193">
        <f t="shared" si="27"/>
        <v>232</v>
      </c>
      <c r="B251" s="107">
        <f t="shared" si="28"/>
        <v>44</v>
      </c>
      <c r="C251" s="53" t="s">
        <v>108</v>
      </c>
      <c r="D251" s="107" t="s">
        <v>132</v>
      </c>
      <c r="E251" s="62">
        <f t="shared" si="26"/>
        <v>7552741.9318827204</v>
      </c>
      <c r="F251" s="63">
        <v>3308322.58</v>
      </c>
      <c r="G251" s="63">
        <v>2035764.2</v>
      </c>
      <c r="H251" s="63">
        <v>882116.62</v>
      </c>
      <c r="I251" s="63">
        <v>903642.16</v>
      </c>
      <c r="J251" s="63">
        <v>0</v>
      </c>
      <c r="K251" s="63"/>
      <c r="L251" s="63"/>
      <c r="M251" s="63">
        <v>0</v>
      </c>
      <c r="N251" s="63">
        <v>0</v>
      </c>
      <c r="O251" s="63">
        <v>0</v>
      </c>
      <c r="P251" s="63"/>
      <c r="Q251" s="63">
        <v>0</v>
      </c>
      <c r="R251" s="63"/>
      <c r="S251" s="63"/>
      <c r="T251" s="64">
        <v>422896.37188271998</v>
      </c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</row>
    <row r="252" spans="1:70" x14ac:dyDescent="0.25">
      <c r="A252" s="193">
        <f t="shared" si="27"/>
        <v>233</v>
      </c>
      <c r="B252" s="107">
        <f t="shared" si="28"/>
        <v>45</v>
      </c>
      <c r="C252" s="53" t="s">
        <v>108</v>
      </c>
      <c r="D252" s="107" t="s">
        <v>331</v>
      </c>
      <c r="E252" s="110">
        <f t="shared" si="26"/>
        <v>15822920.381019348</v>
      </c>
      <c r="F252" s="63">
        <v>0</v>
      </c>
      <c r="G252" s="63">
        <v>0</v>
      </c>
      <c r="H252" s="63">
        <v>0</v>
      </c>
      <c r="I252" s="63"/>
      <c r="J252" s="63">
        <v>0</v>
      </c>
      <c r="K252" s="63"/>
      <c r="L252" s="63"/>
      <c r="M252" s="63"/>
      <c r="N252" s="63">
        <v>2182360.9</v>
      </c>
      <c r="O252" s="63">
        <v>0</v>
      </c>
      <c r="P252" s="63">
        <v>10009863.220000001</v>
      </c>
      <c r="Q252" s="63">
        <v>2520155.4500000002</v>
      </c>
      <c r="R252" s="63">
        <v>212190.76</v>
      </c>
      <c r="S252" s="63">
        <v>18000</v>
      </c>
      <c r="T252" s="64">
        <v>880350.05101934902</v>
      </c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</row>
    <row r="253" spans="1:70" x14ac:dyDescent="0.25">
      <c r="A253" s="193">
        <f t="shared" si="27"/>
        <v>234</v>
      </c>
      <c r="B253" s="107">
        <f t="shared" si="28"/>
        <v>46</v>
      </c>
      <c r="C253" s="53" t="s">
        <v>108</v>
      </c>
      <c r="D253" s="107" t="s">
        <v>332</v>
      </c>
      <c r="E253" s="62">
        <f t="shared" si="26"/>
        <v>955035.89642</v>
      </c>
      <c r="F253" s="63">
        <v>0</v>
      </c>
      <c r="G253" s="63">
        <v>0</v>
      </c>
      <c r="H253" s="63">
        <v>0</v>
      </c>
      <c r="I253" s="63">
        <v>0</v>
      </c>
      <c r="J253" s="63">
        <v>950120</v>
      </c>
      <c r="K253" s="63"/>
      <c r="L253" s="63"/>
      <c r="M253" s="63">
        <v>0</v>
      </c>
      <c r="N253" s="63">
        <v>0</v>
      </c>
      <c r="O253" s="63">
        <v>0</v>
      </c>
      <c r="P253" s="63">
        <v>0</v>
      </c>
      <c r="Q253" s="63"/>
      <c r="R253" s="63"/>
      <c r="S253" s="63"/>
      <c r="T253" s="64">
        <v>4915.89642</v>
      </c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</row>
    <row r="254" spans="1:70" x14ac:dyDescent="0.25">
      <c r="A254" s="193">
        <f t="shared" si="27"/>
        <v>235</v>
      </c>
      <c r="B254" s="107">
        <f t="shared" si="28"/>
        <v>47</v>
      </c>
      <c r="C254" s="53" t="s">
        <v>108</v>
      </c>
      <c r="D254" s="107" t="s">
        <v>333</v>
      </c>
      <c r="E254" s="110">
        <f t="shared" si="26"/>
        <v>5614975.4989366289</v>
      </c>
      <c r="F254" s="63"/>
      <c r="G254" s="63"/>
      <c r="H254" s="63">
        <v>1355646.84</v>
      </c>
      <c r="I254" s="63"/>
      <c r="J254" s="63"/>
      <c r="K254" s="63"/>
      <c r="L254" s="63"/>
      <c r="M254" s="63">
        <v>0</v>
      </c>
      <c r="N254" s="63">
        <v>3865122</v>
      </c>
      <c r="O254" s="63">
        <v>0</v>
      </c>
      <c r="P254" s="63"/>
      <c r="Q254" s="63"/>
      <c r="R254" s="63"/>
      <c r="S254" s="63"/>
      <c r="T254" s="64">
        <v>394206.65893662901</v>
      </c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</row>
    <row r="255" spans="1:70" x14ac:dyDescent="0.25">
      <c r="A255" s="193">
        <f t="shared" si="27"/>
        <v>236</v>
      </c>
      <c r="B255" s="107">
        <f t="shared" si="28"/>
        <v>48</v>
      </c>
      <c r="C255" s="53" t="s">
        <v>108</v>
      </c>
      <c r="D255" s="107" t="s">
        <v>335</v>
      </c>
      <c r="E255" s="62">
        <f t="shared" si="26"/>
        <v>16406836.754956</v>
      </c>
      <c r="F255" s="63">
        <v>0</v>
      </c>
      <c r="G255" s="63">
        <v>0</v>
      </c>
      <c r="H255" s="63">
        <v>0</v>
      </c>
      <c r="I255" s="63">
        <v>0</v>
      </c>
      <c r="J255" s="63">
        <v>1554723.07</v>
      </c>
      <c r="K255" s="63"/>
      <c r="L255" s="63"/>
      <c r="M255" s="63">
        <v>0</v>
      </c>
      <c r="N255" s="63">
        <v>0</v>
      </c>
      <c r="O255" s="63">
        <v>0</v>
      </c>
      <c r="P255" s="63"/>
      <c r="Q255" s="63">
        <v>14843819.359999999</v>
      </c>
      <c r="R255" s="63"/>
      <c r="S255" s="63"/>
      <c r="T255" s="64">
        <v>8294.3249560000004</v>
      </c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</row>
    <row r="256" spans="1:70" x14ac:dyDescent="0.25">
      <c r="A256" s="193">
        <f t="shared" si="27"/>
        <v>237</v>
      </c>
      <c r="B256" s="107">
        <f t="shared" si="28"/>
        <v>49</v>
      </c>
      <c r="C256" s="53" t="s">
        <v>108</v>
      </c>
      <c r="D256" s="107" t="s">
        <v>336</v>
      </c>
      <c r="E256" s="110">
        <f t="shared" si="26"/>
        <v>26569823.881333329</v>
      </c>
      <c r="F256" s="63">
        <v>6875735.2199999997</v>
      </c>
      <c r="G256" s="63">
        <v>3918496.3</v>
      </c>
      <c r="H256" s="63">
        <v>3290123.15</v>
      </c>
      <c r="I256" s="63">
        <v>2154394.91</v>
      </c>
      <c r="J256" s="63">
        <v>0</v>
      </c>
      <c r="K256" s="63"/>
      <c r="L256" s="63"/>
      <c r="M256" s="63"/>
      <c r="N256" s="63">
        <v>9062303.3300000001</v>
      </c>
      <c r="O256" s="63">
        <v>0</v>
      </c>
      <c r="P256" s="63">
        <v>0</v>
      </c>
      <c r="Q256" s="63">
        <v>0</v>
      </c>
      <c r="R256" s="63">
        <v>218659.95</v>
      </c>
      <c r="S256" s="63">
        <v>24000</v>
      </c>
      <c r="T256" s="64">
        <v>1026111.02133333</v>
      </c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</row>
    <row r="257" spans="1:70" x14ac:dyDescent="0.25">
      <c r="A257" s="193">
        <f t="shared" si="27"/>
        <v>238</v>
      </c>
      <c r="B257" s="107">
        <f t="shared" si="28"/>
        <v>50</v>
      </c>
      <c r="C257" s="53" t="s">
        <v>108</v>
      </c>
      <c r="D257" s="107" t="s">
        <v>337</v>
      </c>
      <c r="E257" s="110">
        <f t="shared" si="26"/>
        <v>9281711.4246337004</v>
      </c>
      <c r="F257" s="63"/>
      <c r="G257" s="63"/>
      <c r="H257" s="63"/>
      <c r="I257" s="63"/>
      <c r="J257" s="63"/>
      <c r="K257" s="63"/>
      <c r="L257" s="63"/>
      <c r="M257" s="63"/>
      <c r="N257" s="63">
        <v>7724626.6900000004</v>
      </c>
      <c r="O257" s="63"/>
      <c r="P257" s="63"/>
      <c r="Q257" s="63"/>
      <c r="R257" s="63">
        <v>239779.37</v>
      </c>
      <c r="S257" s="63">
        <v>24000</v>
      </c>
      <c r="T257" s="64">
        <v>1293305.3646337001</v>
      </c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</row>
    <row r="258" spans="1:70" x14ac:dyDescent="0.25">
      <c r="A258" s="193">
        <f t="shared" si="27"/>
        <v>239</v>
      </c>
      <c r="B258" s="107">
        <f t="shared" si="28"/>
        <v>51</v>
      </c>
      <c r="C258" s="53" t="s">
        <v>108</v>
      </c>
      <c r="D258" s="107" t="s">
        <v>339</v>
      </c>
      <c r="E258" s="110">
        <f t="shared" si="26"/>
        <v>11455857.354636747</v>
      </c>
      <c r="F258" s="63"/>
      <c r="G258" s="63"/>
      <c r="H258" s="63">
        <v>1713863.8</v>
      </c>
      <c r="I258" s="63"/>
      <c r="J258" s="63"/>
      <c r="K258" s="63"/>
      <c r="L258" s="63"/>
      <c r="M258" s="63">
        <v>0</v>
      </c>
      <c r="N258" s="63">
        <v>8587544.4700000007</v>
      </c>
      <c r="O258" s="63">
        <v>0</v>
      </c>
      <c r="P258" s="63">
        <v>0</v>
      </c>
      <c r="Q258" s="63">
        <v>0</v>
      </c>
      <c r="R258" s="63">
        <v>384835.13</v>
      </c>
      <c r="S258" s="63">
        <v>8000</v>
      </c>
      <c r="T258" s="64">
        <v>761613.95463674504</v>
      </c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</row>
    <row r="259" spans="1:70" x14ac:dyDescent="0.25">
      <c r="A259" s="193">
        <f t="shared" si="27"/>
        <v>240</v>
      </c>
      <c r="B259" s="107">
        <f t="shared" si="28"/>
        <v>52</v>
      </c>
      <c r="C259" s="53" t="s">
        <v>108</v>
      </c>
      <c r="D259" s="107" t="s">
        <v>341</v>
      </c>
      <c r="E259" s="62">
        <f t="shared" si="26"/>
        <v>21080666.461165823</v>
      </c>
      <c r="F259" s="63">
        <v>4390563.8399999999</v>
      </c>
      <c r="G259" s="63">
        <v>3052029.01</v>
      </c>
      <c r="H259" s="63">
        <v>1727150.4</v>
      </c>
      <c r="I259" s="63">
        <v>1510543.31</v>
      </c>
      <c r="J259" s="63"/>
      <c r="K259" s="63"/>
      <c r="L259" s="63"/>
      <c r="M259" s="63">
        <v>0</v>
      </c>
      <c r="N259" s="63">
        <v>0</v>
      </c>
      <c r="O259" s="63">
        <v>0</v>
      </c>
      <c r="P259" s="63">
        <v>0</v>
      </c>
      <c r="Q259" s="63">
        <v>9155754.3900000006</v>
      </c>
      <c r="R259" s="63">
        <v>1031786.49</v>
      </c>
      <c r="S259" s="63">
        <v>29200</v>
      </c>
      <c r="T259" s="64">
        <v>183639.02116582001</v>
      </c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</row>
    <row r="260" spans="1:70" x14ac:dyDescent="0.25">
      <c r="A260" s="193">
        <f t="shared" si="27"/>
        <v>241</v>
      </c>
      <c r="B260" s="107">
        <f t="shared" si="28"/>
        <v>53</v>
      </c>
      <c r="C260" s="53" t="s">
        <v>108</v>
      </c>
      <c r="D260" s="107" t="s">
        <v>135</v>
      </c>
      <c r="E260" s="62">
        <f t="shared" si="26"/>
        <v>16017535.850428797</v>
      </c>
      <c r="F260" s="63"/>
      <c r="G260" s="63">
        <v>5603246.21</v>
      </c>
      <c r="H260" s="63">
        <v>2551720.8199999998</v>
      </c>
      <c r="I260" s="63">
        <v>3180773.21</v>
      </c>
      <c r="J260" s="63"/>
      <c r="K260" s="63"/>
      <c r="L260" s="63"/>
      <c r="M260" s="63">
        <v>0</v>
      </c>
      <c r="N260" s="63">
        <v>0</v>
      </c>
      <c r="O260" s="63">
        <v>0</v>
      </c>
      <c r="P260" s="63">
        <v>0</v>
      </c>
      <c r="Q260" s="63">
        <v>3870122.95</v>
      </c>
      <c r="R260" s="63"/>
      <c r="S260" s="63"/>
      <c r="T260" s="64">
        <v>811672.66042880004</v>
      </c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</row>
    <row r="261" spans="1:70" x14ac:dyDescent="0.25">
      <c r="A261" s="193">
        <f t="shared" si="27"/>
        <v>242</v>
      </c>
      <c r="B261" s="107">
        <f t="shared" si="28"/>
        <v>54</v>
      </c>
      <c r="C261" s="53" t="s">
        <v>108</v>
      </c>
      <c r="D261" s="107" t="s">
        <v>343</v>
      </c>
      <c r="E261" s="62">
        <f t="shared" si="26"/>
        <v>2005001.28</v>
      </c>
      <c r="F261" s="63">
        <v>0</v>
      </c>
      <c r="G261" s="63">
        <v>0</v>
      </c>
      <c r="H261" s="63">
        <v>0</v>
      </c>
      <c r="I261" s="63">
        <v>0</v>
      </c>
      <c r="J261" s="63">
        <v>1990601.96</v>
      </c>
      <c r="K261" s="63"/>
      <c r="L261" s="63"/>
      <c r="M261" s="63">
        <v>0</v>
      </c>
      <c r="N261" s="63">
        <v>0</v>
      </c>
      <c r="O261" s="63">
        <v>0</v>
      </c>
      <c r="P261" s="63">
        <v>0</v>
      </c>
      <c r="Q261" s="63">
        <v>0</v>
      </c>
      <c r="R261" s="63"/>
      <c r="S261" s="63"/>
      <c r="T261" s="64">
        <v>14399.32</v>
      </c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</row>
    <row r="262" spans="1:70" x14ac:dyDescent="0.25">
      <c r="A262" s="193">
        <f t="shared" si="27"/>
        <v>243</v>
      </c>
      <c r="B262" s="107">
        <f t="shared" si="28"/>
        <v>55</v>
      </c>
      <c r="C262" s="53" t="s">
        <v>108</v>
      </c>
      <c r="D262" s="107" t="s">
        <v>344</v>
      </c>
      <c r="E262" s="110">
        <f t="shared" si="26"/>
        <v>2193790.3517709998</v>
      </c>
      <c r="F262" s="63"/>
      <c r="G262" s="63"/>
      <c r="H262" s="63">
        <v>1749772.5</v>
      </c>
      <c r="I262" s="63"/>
      <c r="J262" s="63"/>
      <c r="K262" s="63"/>
      <c r="L262" s="63"/>
      <c r="M262" s="63">
        <v>0</v>
      </c>
      <c r="N262" s="63">
        <v>0</v>
      </c>
      <c r="O262" s="63">
        <v>0</v>
      </c>
      <c r="P262" s="63">
        <v>0</v>
      </c>
      <c r="Q262" s="63">
        <v>0</v>
      </c>
      <c r="R262" s="63">
        <v>40450.54</v>
      </c>
      <c r="S262" s="63">
        <v>6000</v>
      </c>
      <c r="T262" s="64">
        <v>397567.31177099998</v>
      </c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</row>
    <row r="263" spans="1:70" x14ac:dyDescent="0.25">
      <c r="A263" s="193">
        <f t="shared" si="27"/>
        <v>244</v>
      </c>
      <c r="B263" s="107">
        <f t="shared" si="28"/>
        <v>56</v>
      </c>
      <c r="C263" s="53" t="s">
        <v>108</v>
      </c>
      <c r="D263" s="107" t="s">
        <v>140</v>
      </c>
      <c r="E263" s="110">
        <f t="shared" si="26"/>
        <v>15704373.82062942</v>
      </c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>
        <v>15271354.73</v>
      </c>
      <c r="Q263" s="63">
        <v>0</v>
      </c>
      <c r="R263" s="63"/>
      <c r="S263" s="63"/>
      <c r="T263" s="64">
        <v>433019.09062942001</v>
      </c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</row>
    <row r="264" spans="1:70" x14ac:dyDescent="0.25">
      <c r="A264" s="193">
        <f t="shared" si="27"/>
        <v>245</v>
      </c>
      <c r="B264" s="107">
        <f t="shared" si="28"/>
        <v>57</v>
      </c>
      <c r="C264" s="53" t="s">
        <v>108</v>
      </c>
      <c r="D264" s="107" t="s">
        <v>345</v>
      </c>
      <c r="E264" s="62">
        <f t="shared" si="26"/>
        <v>4815268.0375106996</v>
      </c>
      <c r="F264" s="63">
        <v>4565506.96</v>
      </c>
      <c r="G264" s="63">
        <v>0</v>
      </c>
      <c r="H264" s="63">
        <v>0</v>
      </c>
      <c r="I264" s="63">
        <v>0</v>
      </c>
      <c r="J264" s="63"/>
      <c r="K264" s="63"/>
      <c r="L264" s="63"/>
      <c r="M264" s="63">
        <v>0</v>
      </c>
      <c r="N264" s="63">
        <v>0</v>
      </c>
      <c r="O264" s="63">
        <v>0</v>
      </c>
      <c r="P264" s="63">
        <v>0</v>
      </c>
      <c r="Q264" s="63">
        <v>0</v>
      </c>
      <c r="R264" s="63">
        <v>40300.92</v>
      </c>
      <c r="S264" s="63">
        <v>24000</v>
      </c>
      <c r="T264" s="64">
        <v>185460.1575107</v>
      </c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</row>
    <row r="265" spans="1:70" x14ac:dyDescent="0.25">
      <c r="A265" s="193">
        <f t="shared" si="27"/>
        <v>246</v>
      </c>
      <c r="B265" s="107">
        <f t="shared" si="28"/>
        <v>58</v>
      </c>
      <c r="C265" s="53" t="s">
        <v>108</v>
      </c>
      <c r="D265" s="107" t="s">
        <v>346</v>
      </c>
      <c r="E265" s="62">
        <f t="shared" si="26"/>
        <v>1759022.72617666</v>
      </c>
      <c r="F265" s="63">
        <v>0</v>
      </c>
      <c r="G265" s="63">
        <v>1100224.76</v>
      </c>
      <c r="H265" s="63"/>
      <c r="I265" s="63"/>
      <c r="J265" s="63"/>
      <c r="K265" s="63"/>
      <c r="L265" s="63"/>
      <c r="M265" s="63">
        <v>0</v>
      </c>
      <c r="N265" s="63">
        <v>0</v>
      </c>
      <c r="O265" s="63">
        <v>0</v>
      </c>
      <c r="P265" s="63"/>
      <c r="Q265" s="63">
        <v>0</v>
      </c>
      <c r="R265" s="63"/>
      <c r="S265" s="63"/>
      <c r="T265" s="64">
        <f>555416.30026576+103381.6659109</f>
        <v>658797.96617666003</v>
      </c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</row>
    <row r="266" spans="1:70" x14ac:dyDescent="0.25">
      <c r="A266" s="193">
        <f t="shared" si="27"/>
        <v>247</v>
      </c>
      <c r="B266" s="107">
        <f t="shared" si="28"/>
        <v>59</v>
      </c>
      <c r="C266" s="53" t="s">
        <v>108</v>
      </c>
      <c r="D266" s="107" t="s">
        <v>142</v>
      </c>
      <c r="E266" s="110">
        <f t="shared" si="26"/>
        <v>23341358.24886452</v>
      </c>
      <c r="F266" s="63"/>
      <c r="G266" s="63"/>
      <c r="H266" s="63"/>
      <c r="I266" s="63"/>
      <c r="J266" s="63"/>
      <c r="K266" s="63"/>
      <c r="L266" s="63"/>
      <c r="M266" s="63">
        <v>0</v>
      </c>
      <c r="N266" s="63"/>
      <c r="O266" s="63">
        <v>0</v>
      </c>
      <c r="P266" s="63">
        <v>22799005.559999999</v>
      </c>
      <c r="Q266" s="63"/>
      <c r="R266" s="63"/>
      <c r="S266" s="63"/>
      <c r="T266" s="64">
        <v>542352.68886452005</v>
      </c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</row>
    <row r="267" spans="1:70" x14ac:dyDescent="0.25">
      <c r="A267" s="193">
        <f t="shared" si="27"/>
        <v>248</v>
      </c>
      <c r="B267" s="107">
        <f t="shared" si="28"/>
        <v>60</v>
      </c>
      <c r="C267" s="53" t="s">
        <v>108</v>
      </c>
      <c r="D267" s="107" t="s">
        <v>143</v>
      </c>
      <c r="E267" s="62">
        <f t="shared" si="26"/>
        <v>18165337.9167738</v>
      </c>
      <c r="F267" s="63"/>
      <c r="G267" s="63"/>
      <c r="H267" s="63">
        <v>4113294.16</v>
      </c>
      <c r="I267" s="63"/>
      <c r="J267" s="63"/>
      <c r="K267" s="63"/>
      <c r="L267" s="63"/>
      <c r="M267" s="63">
        <v>0</v>
      </c>
      <c r="N267" s="63"/>
      <c r="O267" s="63">
        <v>0</v>
      </c>
      <c r="P267" s="63"/>
      <c r="Q267" s="63">
        <v>13661056.57</v>
      </c>
      <c r="R267" s="63"/>
      <c r="S267" s="63"/>
      <c r="T267" s="64">
        <v>390987.1867738</v>
      </c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</row>
    <row r="268" spans="1:70" x14ac:dyDescent="0.25">
      <c r="A268" s="193">
        <f t="shared" si="27"/>
        <v>249</v>
      </c>
      <c r="B268" s="107">
        <f t="shared" si="28"/>
        <v>61</v>
      </c>
      <c r="C268" s="53" t="s">
        <v>108</v>
      </c>
      <c r="D268" s="107" t="s">
        <v>347</v>
      </c>
      <c r="E268" s="62">
        <f t="shared" si="26"/>
        <v>5464997.3955120007</v>
      </c>
      <c r="F268" s="63">
        <v>0</v>
      </c>
      <c r="G268" s="63">
        <v>0</v>
      </c>
      <c r="H268" s="63">
        <v>0</v>
      </c>
      <c r="I268" s="63">
        <v>0</v>
      </c>
      <c r="J268" s="63">
        <v>0</v>
      </c>
      <c r="K268" s="63"/>
      <c r="L268" s="63"/>
      <c r="M268" s="63">
        <v>0</v>
      </c>
      <c r="N268" s="63">
        <v>0</v>
      </c>
      <c r="O268" s="63">
        <v>0</v>
      </c>
      <c r="P268" s="63">
        <v>0</v>
      </c>
      <c r="Q268" s="63">
        <v>4977661</v>
      </c>
      <c r="R268" s="63">
        <v>193371.82</v>
      </c>
      <c r="S268" s="63">
        <v>24000</v>
      </c>
      <c r="T268" s="64">
        <v>269964.57551200001</v>
      </c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</row>
    <row r="269" spans="1:70" x14ac:dyDescent="0.25">
      <c r="A269" s="193">
        <f t="shared" si="27"/>
        <v>250</v>
      </c>
      <c r="B269" s="107">
        <f t="shared" si="28"/>
        <v>62</v>
      </c>
      <c r="C269" s="53" t="s">
        <v>108</v>
      </c>
      <c r="D269" s="107" t="s">
        <v>348</v>
      </c>
      <c r="E269" s="110">
        <f t="shared" si="26"/>
        <v>33937482.153738216</v>
      </c>
      <c r="F269" s="63">
        <v>3333540.05</v>
      </c>
      <c r="G269" s="63">
        <v>0</v>
      </c>
      <c r="H269" s="63">
        <v>1549799.6</v>
      </c>
      <c r="I269" s="63">
        <v>0</v>
      </c>
      <c r="J269" s="63">
        <v>0</v>
      </c>
      <c r="K269" s="63"/>
      <c r="L269" s="63"/>
      <c r="M269" s="63">
        <v>0</v>
      </c>
      <c r="N269" s="63">
        <v>13493182.9250254</v>
      </c>
      <c r="O269" s="63">
        <v>0</v>
      </c>
      <c r="P269" s="63">
        <v>14103016.029999999</v>
      </c>
      <c r="Q269" s="63">
        <v>0</v>
      </c>
      <c r="R269" s="63">
        <v>456271.35999999999</v>
      </c>
      <c r="S269" s="63">
        <v>9557.99</v>
      </c>
      <c r="T269" s="64">
        <v>992114.19871281297</v>
      </c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</row>
    <row r="270" spans="1:70" x14ac:dyDescent="0.25">
      <c r="A270" s="193">
        <f t="shared" si="27"/>
        <v>251</v>
      </c>
      <c r="B270" s="107">
        <f t="shared" si="28"/>
        <v>63</v>
      </c>
      <c r="C270" s="53" t="s">
        <v>108</v>
      </c>
      <c r="D270" s="107" t="s">
        <v>147</v>
      </c>
      <c r="E270" s="62">
        <f t="shared" si="26"/>
        <v>5694794.8653653199</v>
      </c>
      <c r="F270" s="63"/>
      <c r="G270" s="63"/>
      <c r="H270" s="63"/>
      <c r="I270" s="63"/>
      <c r="J270" s="63"/>
      <c r="K270" s="63"/>
      <c r="L270" s="63"/>
      <c r="M270" s="63"/>
      <c r="N270" s="63">
        <v>5556548.1200000001</v>
      </c>
      <c r="O270" s="63">
        <v>0</v>
      </c>
      <c r="P270" s="63">
        <v>0</v>
      </c>
      <c r="Q270" s="63">
        <v>0</v>
      </c>
      <c r="R270" s="63"/>
      <c r="S270" s="63"/>
      <c r="T270" s="64">
        <v>138246.74536532001</v>
      </c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</row>
    <row r="271" spans="1:70" x14ac:dyDescent="0.25">
      <c r="A271" s="193">
        <f t="shared" si="27"/>
        <v>252</v>
      </c>
      <c r="B271" s="107">
        <f t="shared" si="28"/>
        <v>64</v>
      </c>
      <c r="C271" s="53" t="s">
        <v>108</v>
      </c>
      <c r="D271" s="107" t="s">
        <v>349</v>
      </c>
      <c r="E271" s="62">
        <f t="shared" si="26"/>
        <v>17456477.050000001</v>
      </c>
      <c r="F271" s="63">
        <v>8885029.4600000009</v>
      </c>
      <c r="G271" s="63"/>
      <c r="H271" s="63">
        <v>3892363.59</v>
      </c>
      <c r="I271" s="63">
        <v>4001179.24</v>
      </c>
      <c r="J271" s="63"/>
      <c r="K271" s="63"/>
      <c r="L271" s="63"/>
      <c r="M271" s="63"/>
      <c r="N271" s="63"/>
      <c r="O271" s="63"/>
      <c r="P271" s="63"/>
      <c r="Q271" s="63"/>
      <c r="R271" s="63">
        <v>123177.46</v>
      </c>
      <c r="S271" s="63">
        <v>18000</v>
      </c>
      <c r="T271" s="64">
        <v>536727.30000000005</v>
      </c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</row>
    <row r="272" spans="1:70" x14ac:dyDescent="0.25">
      <c r="A272" s="193">
        <f t="shared" si="27"/>
        <v>253</v>
      </c>
      <c r="B272" s="107">
        <f t="shared" si="28"/>
        <v>65</v>
      </c>
      <c r="C272" s="53" t="s">
        <v>108</v>
      </c>
      <c r="D272" s="107" t="s">
        <v>350</v>
      </c>
      <c r="E272" s="62">
        <f t="shared" ref="E272:E303" si="29">SUBTOTAL(9, F272:T272)</f>
        <v>17417470.407950561</v>
      </c>
      <c r="F272" s="63"/>
      <c r="G272" s="63"/>
      <c r="H272" s="63"/>
      <c r="I272" s="63"/>
      <c r="J272" s="63"/>
      <c r="K272" s="63"/>
      <c r="L272" s="63"/>
      <c r="M272" s="63">
        <v>0</v>
      </c>
      <c r="N272" s="63">
        <v>9298128.9700000007</v>
      </c>
      <c r="O272" s="63">
        <v>0</v>
      </c>
      <c r="P272" s="63"/>
      <c r="Q272" s="63">
        <v>6906225.3700000001</v>
      </c>
      <c r="R272" s="63">
        <v>332847.40999999997</v>
      </c>
      <c r="S272" s="63">
        <v>24835</v>
      </c>
      <c r="T272" s="64">
        <v>855433.65795056196</v>
      </c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</row>
    <row r="273" spans="1:70" x14ac:dyDescent="0.25">
      <c r="A273" s="193">
        <f t="shared" ref="A273:A304" si="30">+A272+1</f>
        <v>254</v>
      </c>
      <c r="B273" s="107">
        <f t="shared" ref="B273:B304" si="31">+B272+1</f>
        <v>66</v>
      </c>
      <c r="C273" s="53" t="s">
        <v>108</v>
      </c>
      <c r="D273" s="107" t="s">
        <v>351</v>
      </c>
      <c r="E273" s="62">
        <f t="shared" si="29"/>
        <v>17197808.294846922</v>
      </c>
      <c r="F273" s="63"/>
      <c r="G273" s="63"/>
      <c r="H273" s="63"/>
      <c r="I273" s="63"/>
      <c r="J273" s="63"/>
      <c r="K273" s="63"/>
      <c r="L273" s="63"/>
      <c r="M273" s="63">
        <v>0</v>
      </c>
      <c r="N273" s="63">
        <v>9298128.9700000007</v>
      </c>
      <c r="O273" s="63">
        <v>0</v>
      </c>
      <c r="P273" s="63"/>
      <c r="Q273" s="63">
        <v>6697684.2800000003</v>
      </c>
      <c r="R273" s="63">
        <v>328986.36</v>
      </c>
      <c r="S273" s="63">
        <v>24747</v>
      </c>
      <c r="T273" s="64">
        <v>848261.68484692299</v>
      </c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</row>
    <row r="274" spans="1:70" x14ac:dyDescent="0.25">
      <c r="A274" s="193">
        <f t="shared" si="30"/>
        <v>255</v>
      </c>
      <c r="B274" s="107">
        <f t="shared" si="31"/>
        <v>67</v>
      </c>
      <c r="C274" s="53" t="s">
        <v>108</v>
      </c>
      <c r="D274" s="107" t="s">
        <v>352</v>
      </c>
      <c r="E274" s="62">
        <f t="shared" si="29"/>
        <v>6942751.8404994002</v>
      </c>
      <c r="F274" s="63">
        <v>0</v>
      </c>
      <c r="G274" s="63">
        <v>0</v>
      </c>
      <c r="H274" s="63">
        <v>0</v>
      </c>
      <c r="I274" s="63">
        <v>0</v>
      </c>
      <c r="J274" s="63">
        <v>0</v>
      </c>
      <c r="K274" s="63"/>
      <c r="L274" s="63"/>
      <c r="M274" s="63">
        <v>0</v>
      </c>
      <c r="N274" s="63">
        <v>6718705.3799999999</v>
      </c>
      <c r="O274" s="63">
        <v>0</v>
      </c>
      <c r="P274" s="63">
        <v>0</v>
      </c>
      <c r="Q274" s="63">
        <v>0</v>
      </c>
      <c r="R274" s="63"/>
      <c r="S274" s="63"/>
      <c r="T274" s="64">
        <v>224046.46049940001</v>
      </c>
      <c r="U274" s="205"/>
    </row>
    <row r="275" spans="1:70" x14ac:dyDescent="0.25">
      <c r="A275" s="193">
        <f t="shared" si="30"/>
        <v>256</v>
      </c>
      <c r="B275" s="107">
        <f t="shared" si="31"/>
        <v>68</v>
      </c>
      <c r="C275" s="53" t="s">
        <v>108</v>
      </c>
      <c r="D275" s="107" t="s">
        <v>353</v>
      </c>
      <c r="E275" s="62">
        <f t="shared" si="29"/>
        <v>6576042.7964744698</v>
      </c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>
        <v>5289247.08</v>
      </c>
      <c r="R275" s="63">
        <v>212316.76</v>
      </c>
      <c r="S275" s="63">
        <v>3428.57</v>
      </c>
      <c r="T275" s="64">
        <v>1071050.3864744699</v>
      </c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</row>
    <row r="276" spans="1:70" x14ac:dyDescent="0.25">
      <c r="A276" s="193">
        <f t="shared" si="30"/>
        <v>257</v>
      </c>
      <c r="B276" s="107">
        <f t="shared" si="31"/>
        <v>69</v>
      </c>
      <c r="C276" s="53" t="s">
        <v>108</v>
      </c>
      <c r="D276" s="107" t="s">
        <v>354</v>
      </c>
      <c r="E276" s="62">
        <f t="shared" si="29"/>
        <v>46764055.196824104</v>
      </c>
      <c r="F276" s="63">
        <v>7625174.9299999997</v>
      </c>
      <c r="G276" s="63"/>
      <c r="H276" s="63">
        <v>2990319.15</v>
      </c>
      <c r="I276" s="63">
        <v>3967819.86</v>
      </c>
      <c r="J276" s="63"/>
      <c r="K276" s="63"/>
      <c r="L276" s="63"/>
      <c r="M276" s="63">
        <v>0</v>
      </c>
      <c r="N276" s="63">
        <v>9797526</v>
      </c>
      <c r="O276" s="63">
        <v>0</v>
      </c>
      <c r="P276" s="63">
        <v>9608317.1999999993</v>
      </c>
      <c r="Q276" s="63">
        <v>10107495.6</v>
      </c>
      <c r="R276" s="63">
        <v>937678.84</v>
      </c>
      <c r="S276" s="63">
        <v>42000</v>
      </c>
      <c r="T276" s="64">
        <v>1687723.6168241</v>
      </c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</row>
    <row r="277" spans="1:70" x14ac:dyDescent="0.25">
      <c r="A277" s="193">
        <f t="shared" si="30"/>
        <v>258</v>
      </c>
      <c r="B277" s="107">
        <f t="shared" si="31"/>
        <v>70</v>
      </c>
      <c r="C277" s="53" t="s">
        <v>108</v>
      </c>
      <c r="D277" s="107" t="s">
        <v>355</v>
      </c>
      <c r="E277" s="62">
        <f t="shared" si="29"/>
        <v>1394293.8779577501</v>
      </c>
      <c r="F277" s="63"/>
      <c r="G277" s="63"/>
      <c r="H277" s="63">
        <v>0</v>
      </c>
      <c r="I277" s="63">
        <v>0</v>
      </c>
      <c r="J277" s="63">
        <v>974673.41</v>
      </c>
      <c r="K277" s="63"/>
      <c r="L277" s="63"/>
      <c r="M277" s="63">
        <v>0</v>
      </c>
      <c r="N277" s="63"/>
      <c r="O277" s="63">
        <v>0</v>
      </c>
      <c r="P277" s="63">
        <v>0</v>
      </c>
      <c r="Q277" s="63">
        <v>0</v>
      </c>
      <c r="R277" s="63"/>
      <c r="S277" s="63"/>
      <c r="T277" s="64">
        <v>419620.46795775002</v>
      </c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</row>
    <row r="278" spans="1:70" x14ac:dyDescent="0.25">
      <c r="A278" s="193">
        <f t="shared" si="30"/>
        <v>259</v>
      </c>
      <c r="B278" s="107">
        <f t="shared" si="31"/>
        <v>71</v>
      </c>
      <c r="C278" s="53" t="s">
        <v>108</v>
      </c>
      <c r="D278" s="107" t="s">
        <v>356</v>
      </c>
      <c r="E278" s="62">
        <f t="shared" si="29"/>
        <v>14147298.26847416</v>
      </c>
      <c r="F278" s="63">
        <v>7567432.0800000001</v>
      </c>
      <c r="G278" s="63"/>
      <c r="H278" s="63">
        <v>3408090.02</v>
      </c>
      <c r="I278" s="63">
        <v>2646922.3199999998</v>
      </c>
      <c r="J278" s="63"/>
      <c r="K278" s="63"/>
      <c r="L278" s="63"/>
      <c r="M278" s="63">
        <v>0</v>
      </c>
      <c r="N278" s="63">
        <v>0</v>
      </c>
      <c r="O278" s="63">
        <v>0</v>
      </c>
      <c r="P278" s="63">
        <v>0</v>
      </c>
      <c r="Q278" s="63">
        <v>0</v>
      </c>
      <c r="R278" s="63">
        <v>89396.34</v>
      </c>
      <c r="S278" s="63"/>
      <c r="T278" s="64">
        <v>435457.50847415999</v>
      </c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</row>
    <row r="279" spans="1:70" x14ac:dyDescent="0.25">
      <c r="A279" s="193">
        <f t="shared" si="30"/>
        <v>260</v>
      </c>
      <c r="B279" s="107">
        <f t="shared" si="31"/>
        <v>72</v>
      </c>
      <c r="C279" s="53" t="s">
        <v>108</v>
      </c>
      <c r="D279" s="107" t="s">
        <v>156</v>
      </c>
      <c r="E279" s="62">
        <f t="shared" si="29"/>
        <v>7847775.5171412285</v>
      </c>
      <c r="F279" s="63">
        <v>0</v>
      </c>
      <c r="G279" s="63"/>
      <c r="H279" s="63"/>
      <c r="I279" s="63"/>
      <c r="J279" s="63"/>
      <c r="K279" s="63"/>
      <c r="L279" s="63"/>
      <c r="M279" s="63">
        <v>0</v>
      </c>
      <c r="N279" s="63">
        <v>0</v>
      </c>
      <c r="O279" s="63">
        <v>0</v>
      </c>
      <c r="P279" s="63">
        <v>0</v>
      </c>
      <c r="Q279" s="63">
        <v>7219456.8700000001</v>
      </c>
      <c r="R279" s="63"/>
      <c r="S279" s="63"/>
      <c r="T279" s="64">
        <v>628318.64714122796</v>
      </c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</row>
    <row r="280" spans="1:70" x14ac:dyDescent="0.25">
      <c r="A280" s="193">
        <f t="shared" si="30"/>
        <v>261</v>
      </c>
      <c r="B280" s="107">
        <f t="shared" si="31"/>
        <v>73</v>
      </c>
      <c r="C280" s="53" t="s">
        <v>108</v>
      </c>
      <c r="D280" s="107" t="s">
        <v>157</v>
      </c>
      <c r="E280" s="62">
        <f t="shared" si="29"/>
        <v>1181739.3143090401</v>
      </c>
      <c r="F280" s="63"/>
      <c r="G280" s="63"/>
      <c r="H280" s="63">
        <v>942256.83</v>
      </c>
      <c r="I280" s="63"/>
      <c r="J280" s="63"/>
      <c r="K280" s="63"/>
      <c r="L280" s="63"/>
      <c r="M280" s="63">
        <v>0</v>
      </c>
      <c r="N280" s="63"/>
      <c r="O280" s="63">
        <v>0</v>
      </c>
      <c r="P280" s="63">
        <v>0</v>
      </c>
      <c r="Q280" s="63">
        <v>0</v>
      </c>
      <c r="R280" s="63"/>
      <c r="S280" s="63"/>
      <c r="T280" s="64">
        <v>239482.48430904001</v>
      </c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</row>
    <row r="281" spans="1:70" x14ac:dyDescent="0.25">
      <c r="A281" s="193">
        <f t="shared" si="30"/>
        <v>262</v>
      </c>
      <c r="B281" s="107">
        <f t="shared" si="31"/>
        <v>74</v>
      </c>
      <c r="C281" s="53" t="s">
        <v>108</v>
      </c>
      <c r="D281" s="107" t="s">
        <v>357</v>
      </c>
      <c r="E281" s="110">
        <f t="shared" si="29"/>
        <v>4520457.9502189802</v>
      </c>
      <c r="F281" s="63"/>
      <c r="G281" s="63"/>
      <c r="H281" s="63"/>
      <c r="I281" s="63"/>
      <c r="J281" s="63"/>
      <c r="K281" s="63"/>
      <c r="L281" s="63"/>
      <c r="M281" s="63">
        <v>0</v>
      </c>
      <c r="N281" s="63">
        <v>4009059.65</v>
      </c>
      <c r="O281" s="63">
        <v>0</v>
      </c>
      <c r="P281" s="63">
        <v>0</v>
      </c>
      <c r="Q281" s="63">
        <v>0</v>
      </c>
      <c r="R281" s="63">
        <v>39270.71</v>
      </c>
      <c r="S281" s="63">
        <v>4800</v>
      </c>
      <c r="T281" s="64">
        <v>467327.59021897998</v>
      </c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</row>
    <row r="282" spans="1:70" x14ac:dyDescent="0.25">
      <c r="A282" s="193">
        <f t="shared" si="30"/>
        <v>263</v>
      </c>
      <c r="B282" s="107">
        <f t="shared" si="31"/>
        <v>75</v>
      </c>
      <c r="C282" s="53" t="s">
        <v>108</v>
      </c>
      <c r="D282" s="107" t="s">
        <v>358</v>
      </c>
      <c r="E282" s="110">
        <f t="shared" si="29"/>
        <v>14391805.65454497</v>
      </c>
      <c r="F282" s="63"/>
      <c r="G282" s="63"/>
      <c r="H282" s="63"/>
      <c r="I282" s="63"/>
      <c r="J282" s="63"/>
      <c r="K282" s="63"/>
      <c r="L282" s="63"/>
      <c r="M282" s="63">
        <v>13862649.6</v>
      </c>
      <c r="N282" s="63"/>
      <c r="O282" s="63"/>
      <c r="P282" s="63"/>
      <c r="Q282" s="63"/>
      <c r="R282" s="63">
        <v>203887.58</v>
      </c>
      <c r="S282" s="63">
        <v>23160</v>
      </c>
      <c r="T282" s="64">
        <v>302108.47454497102</v>
      </c>
      <c r="U282" s="163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</row>
    <row r="283" spans="1:70" x14ac:dyDescent="0.25">
      <c r="A283" s="193">
        <f t="shared" si="30"/>
        <v>264</v>
      </c>
      <c r="B283" s="107">
        <f t="shared" si="31"/>
        <v>76</v>
      </c>
      <c r="C283" s="53" t="s">
        <v>108</v>
      </c>
      <c r="D283" s="107" t="s">
        <v>162</v>
      </c>
      <c r="E283" s="62">
        <f t="shared" si="29"/>
        <v>2118372.9759979998</v>
      </c>
      <c r="F283" s="63"/>
      <c r="G283" s="63"/>
      <c r="H283" s="63">
        <v>1824432.9</v>
      </c>
      <c r="I283" s="63"/>
      <c r="J283" s="63"/>
      <c r="K283" s="63"/>
      <c r="L283" s="63"/>
      <c r="M283" s="63">
        <v>0</v>
      </c>
      <c r="N283" s="63">
        <v>0</v>
      </c>
      <c r="O283" s="63">
        <v>0</v>
      </c>
      <c r="P283" s="63">
        <v>0</v>
      </c>
      <c r="Q283" s="63">
        <v>0</v>
      </c>
      <c r="R283" s="63"/>
      <c r="S283" s="63"/>
      <c r="T283" s="64">
        <v>293940.07599799999</v>
      </c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</row>
    <row r="284" spans="1:70" x14ac:dyDescent="0.25">
      <c r="A284" s="193">
        <f t="shared" si="30"/>
        <v>265</v>
      </c>
      <c r="B284" s="107">
        <f t="shared" si="31"/>
        <v>77</v>
      </c>
      <c r="C284" s="53" t="s">
        <v>108</v>
      </c>
      <c r="D284" s="107" t="s">
        <v>359</v>
      </c>
      <c r="E284" s="62">
        <f t="shared" si="29"/>
        <v>7865601.7908515614</v>
      </c>
      <c r="F284" s="63"/>
      <c r="G284" s="63">
        <v>343509.18</v>
      </c>
      <c r="H284" s="63">
        <v>1218249.92</v>
      </c>
      <c r="I284" s="63">
        <v>605983.06000000006</v>
      </c>
      <c r="J284" s="63"/>
      <c r="K284" s="63"/>
      <c r="L284" s="63"/>
      <c r="M284" s="63"/>
      <c r="N284" s="63">
        <v>4289726.93</v>
      </c>
      <c r="O284" s="63"/>
      <c r="P284" s="63"/>
      <c r="Q284" s="63"/>
      <c r="R284" s="63">
        <v>555193.42000000004</v>
      </c>
      <c r="S284" s="63">
        <v>13714.29</v>
      </c>
      <c r="T284" s="64">
        <v>839224.990851562</v>
      </c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</row>
    <row r="285" spans="1:70" x14ac:dyDescent="0.25">
      <c r="A285" s="193">
        <f t="shared" si="30"/>
        <v>266</v>
      </c>
      <c r="B285" s="107">
        <f t="shared" si="31"/>
        <v>78</v>
      </c>
      <c r="C285" s="53" t="s">
        <v>108</v>
      </c>
      <c r="D285" s="107" t="s">
        <v>166</v>
      </c>
      <c r="E285" s="62">
        <f t="shared" si="29"/>
        <v>8464746.2050062995</v>
      </c>
      <c r="F285" s="63"/>
      <c r="G285" s="63"/>
      <c r="H285" s="63">
        <v>271883.74</v>
      </c>
      <c r="I285" s="63">
        <v>1331235.81</v>
      </c>
      <c r="J285" s="63"/>
      <c r="K285" s="63"/>
      <c r="L285" s="63"/>
      <c r="M285" s="63"/>
      <c r="N285" s="63"/>
      <c r="O285" s="63"/>
      <c r="P285" s="63"/>
      <c r="Q285" s="63">
        <v>6391541.46</v>
      </c>
      <c r="R285" s="63">
        <v>124035.9</v>
      </c>
      <c r="S285" s="63">
        <v>12000</v>
      </c>
      <c r="T285" s="64">
        <v>334049.29500629997</v>
      </c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</row>
    <row r="286" spans="1:70" x14ac:dyDescent="0.25">
      <c r="A286" s="193">
        <f t="shared" si="30"/>
        <v>267</v>
      </c>
      <c r="B286" s="107">
        <f t="shared" si="31"/>
        <v>79</v>
      </c>
      <c r="C286" s="53" t="s">
        <v>108</v>
      </c>
      <c r="D286" s="107" t="s">
        <v>361</v>
      </c>
      <c r="E286" s="110">
        <f t="shared" si="29"/>
        <v>7251475.6915714722</v>
      </c>
      <c r="F286" s="63">
        <v>2848325.83</v>
      </c>
      <c r="G286" s="63"/>
      <c r="H286" s="63"/>
      <c r="I286" s="63"/>
      <c r="J286" s="63"/>
      <c r="K286" s="63"/>
      <c r="L286" s="63"/>
      <c r="M286" s="63">
        <v>0</v>
      </c>
      <c r="N286" s="63">
        <v>3676704.18</v>
      </c>
      <c r="O286" s="63">
        <v>0</v>
      </c>
      <c r="P286" s="63"/>
      <c r="Q286" s="63"/>
      <c r="R286" s="63">
        <v>133934.73000000001</v>
      </c>
      <c r="S286" s="63">
        <v>6857.14</v>
      </c>
      <c r="T286" s="64">
        <v>585653.81157147198</v>
      </c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</row>
    <row r="287" spans="1:70" x14ac:dyDescent="0.25">
      <c r="A287" s="193">
        <f t="shared" si="30"/>
        <v>268</v>
      </c>
      <c r="B287" s="107">
        <f t="shared" si="31"/>
        <v>80</v>
      </c>
      <c r="C287" s="53" t="s">
        <v>108</v>
      </c>
      <c r="D287" s="107" t="s">
        <v>362</v>
      </c>
      <c r="E287" s="62">
        <f t="shared" si="29"/>
        <v>1601588.2380766</v>
      </c>
      <c r="F287" s="63">
        <v>0</v>
      </c>
      <c r="G287" s="63">
        <v>0</v>
      </c>
      <c r="H287" s="63">
        <v>0</v>
      </c>
      <c r="I287" s="63">
        <v>0</v>
      </c>
      <c r="J287" s="63">
        <v>1421417.84</v>
      </c>
      <c r="K287" s="63"/>
      <c r="L287" s="63"/>
      <c r="M287" s="63">
        <v>0</v>
      </c>
      <c r="N287" s="63">
        <v>0</v>
      </c>
      <c r="O287" s="63">
        <v>0</v>
      </c>
      <c r="P287" s="63">
        <v>0</v>
      </c>
      <c r="Q287" s="63"/>
      <c r="R287" s="63"/>
      <c r="S287" s="63"/>
      <c r="T287" s="64">
        <v>180170.39807659999</v>
      </c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</row>
    <row r="288" spans="1:70" x14ac:dyDescent="0.25">
      <c r="A288" s="193">
        <f t="shared" si="30"/>
        <v>269</v>
      </c>
      <c r="B288" s="107">
        <f t="shared" si="31"/>
        <v>81</v>
      </c>
      <c r="C288" s="53" t="s">
        <v>108</v>
      </c>
      <c r="D288" s="107" t="s">
        <v>363</v>
      </c>
      <c r="E288" s="62">
        <f t="shared" si="29"/>
        <v>1411333.7441760001</v>
      </c>
      <c r="F288" s="63">
        <v>0</v>
      </c>
      <c r="G288" s="63">
        <v>0</v>
      </c>
      <c r="H288" s="63">
        <v>0</v>
      </c>
      <c r="I288" s="63">
        <v>0</v>
      </c>
      <c r="J288" s="63">
        <v>1405107.53</v>
      </c>
      <c r="K288" s="63"/>
      <c r="L288" s="63"/>
      <c r="M288" s="63">
        <v>0</v>
      </c>
      <c r="N288" s="63">
        <v>0</v>
      </c>
      <c r="O288" s="63">
        <v>0</v>
      </c>
      <c r="P288" s="63">
        <v>0</v>
      </c>
      <c r="Q288" s="63"/>
      <c r="R288" s="63"/>
      <c r="S288" s="63"/>
      <c r="T288" s="64">
        <v>6226.2141760000004</v>
      </c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</row>
    <row r="289" spans="1:70" x14ac:dyDescent="0.25">
      <c r="A289" s="193">
        <f t="shared" si="30"/>
        <v>270</v>
      </c>
      <c r="B289" s="107">
        <f t="shared" si="31"/>
        <v>82</v>
      </c>
      <c r="C289" s="53" t="s">
        <v>108</v>
      </c>
      <c r="D289" s="107" t="s">
        <v>364</v>
      </c>
      <c r="E289" s="62">
        <f t="shared" si="29"/>
        <v>1419894.4741760001</v>
      </c>
      <c r="F289" s="63">
        <v>0</v>
      </c>
      <c r="G289" s="63">
        <v>0</v>
      </c>
      <c r="H289" s="63">
        <v>0</v>
      </c>
      <c r="I289" s="63">
        <v>0</v>
      </c>
      <c r="J289" s="63">
        <v>1413665.12</v>
      </c>
      <c r="K289" s="63"/>
      <c r="L289" s="63"/>
      <c r="M289" s="63">
        <v>0</v>
      </c>
      <c r="N289" s="63">
        <v>0</v>
      </c>
      <c r="O289" s="63">
        <v>0</v>
      </c>
      <c r="P289" s="63">
        <v>0</v>
      </c>
      <c r="Q289" s="63"/>
      <c r="R289" s="63"/>
      <c r="S289" s="63"/>
      <c r="T289" s="64">
        <v>6229.3541759999998</v>
      </c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</row>
    <row r="290" spans="1:70" x14ac:dyDescent="0.25">
      <c r="A290" s="193">
        <f t="shared" si="30"/>
        <v>271</v>
      </c>
      <c r="B290" s="107">
        <f t="shared" si="31"/>
        <v>83</v>
      </c>
      <c r="C290" s="53" t="s">
        <v>108</v>
      </c>
      <c r="D290" s="107" t="s">
        <v>365</v>
      </c>
      <c r="E290" s="62">
        <f t="shared" si="29"/>
        <v>17646393.77924576</v>
      </c>
      <c r="F290" s="63">
        <v>5599699.5999999996</v>
      </c>
      <c r="G290" s="63"/>
      <c r="H290" s="63">
        <v>2421941.33</v>
      </c>
      <c r="I290" s="63">
        <v>1626971.98</v>
      </c>
      <c r="J290" s="63"/>
      <c r="K290" s="63"/>
      <c r="L290" s="63"/>
      <c r="M290" s="63">
        <v>0</v>
      </c>
      <c r="N290" s="63">
        <v>7300062.8200000003</v>
      </c>
      <c r="O290" s="63">
        <v>0</v>
      </c>
      <c r="P290" s="63">
        <v>0</v>
      </c>
      <c r="Q290" s="63"/>
      <c r="R290" s="63">
        <v>143064.9</v>
      </c>
      <c r="S290" s="63">
        <v>19200</v>
      </c>
      <c r="T290" s="64">
        <v>535453.14924576005</v>
      </c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</row>
    <row r="291" spans="1:70" x14ac:dyDescent="0.25">
      <c r="A291" s="193">
        <f t="shared" si="30"/>
        <v>272</v>
      </c>
      <c r="B291" s="107">
        <f t="shared" si="31"/>
        <v>84</v>
      </c>
      <c r="C291" s="53" t="s">
        <v>108</v>
      </c>
      <c r="D291" s="107" t="s">
        <v>366</v>
      </c>
      <c r="E291" s="62">
        <f t="shared" si="29"/>
        <v>16991306.092609718</v>
      </c>
      <c r="F291" s="63">
        <v>5635685.2699999996</v>
      </c>
      <c r="G291" s="63"/>
      <c r="H291" s="63">
        <v>2462247.36</v>
      </c>
      <c r="I291" s="63">
        <v>1533694.94</v>
      </c>
      <c r="J291" s="63"/>
      <c r="K291" s="63"/>
      <c r="L291" s="63"/>
      <c r="M291" s="63">
        <v>0</v>
      </c>
      <c r="N291" s="63">
        <v>6654965.2300000004</v>
      </c>
      <c r="O291" s="63">
        <v>0</v>
      </c>
      <c r="P291" s="63">
        <v>0</v>
      </c>
      <c r="Q291" s="63">
        <v>0</v>
      </c>
      <c r="R291" s="63">
        <v>141236.04999999999</v>
      </c>
      <c r="S291" s="63">
        <v>19200</v>
      </c>
      <c r="T291" s="64">
        <v>544277.24260971998</v>
      </c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</row>
    <row r="292" spans="1:70" x14ac:dyDescent="0.25">
      <c r="A292" s="193">
        <f t="shared" si="30"/>
        <v>273</v>
      </c>
      <c r="B292" s="107">
        <f t="shared" si="31"/>
        <v>85</v>
      </c>
      <c r="C292" s="53" t="s">
        <v>108</v>
      </c>
      <c r="D292" s="107" t="s">
        <v>367</v>
      </c>
      <c r="E292" s="62">
        <f t="shared" si="29"/>
        <v>16617668.74080264</v>
      </c>
      <c r="F292" s="63"/>
      <c r="G292" s="63"/>
      <c r="H292" s="63">
        <v>1704018.34</v>
      </c>
      <c r="I292" s="63">
        <v>1334515.24</v>
      </c>
      <c r="J292" s="63"/>
      <c r="K292" s="63"/>
      <c r="L292" s="63"/>
      <c r="M292" s="63">
        <v>0</v>
      </c>
      <c r="N292" s="63">
        <v>6866520.9800000004</v>
      </c>
      <c r="O292" s="63">
        <v>0</v>
      </c>
      <c r="P292" s="63">
        <v>0</v>
      </c>
      <c r="Q292" s="63">
        <v>5952987.4199999999</v>
      </c>
      <c r="R292" s="63"/>
      <c r="S292" s="63"/>
      <c r="T292" s="64">
        <v>759626.76080264</v>
      </c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</row>
    <row r="293" spans="1:70" x14ac:dyDescent="0.25">
      <c r="A293" s="193">
        <f t="shared" si="30"/>
        <v>274</v>
      </c>
      <c r="B293" s="107">
        <f t="shared" si="31"/>
        <v>86</v>
      </c>
      <c r="C293" s="53" t="s">
        <v>108</v>
      </c>
      <c r="D293" s="107" t="s">
        <v>368</v>
      </c>
      <c r="E293" s="62">
        <f t="shared" si="29"/>
        <v>1519846.3999999999</v>
      </c>
      <c r="F293" s="63">
        <v>0</v>
      </c>
      <c r="G293" s="63">
        <v>0</v>
      </c>
      <c r="H293" s="63">
        <v>0</v>
      </c>
      <c r="I293" s="63">
        <v>0</v>
      </c>
      <c r="J293" s="63">
        <v>1512746.4</v>
      </c>
      <c r="K293" s="63"/>
      <c r="L293" s="63"/>
      <c r="M293" s="63">
        <v>0</v>
      </c>
      <c r="N293" s="63">
        <v>0</v>
      </c>
      <c r="O293" s="63">
        <v>0</v>
      </c>
      <c r="P293" s="63">
        <v>0</v>
      </c>
      <c r="Q293" s="63">
        <v>0</v>
      </c>
      <c r="R293" s="63"/>
      <c r="S293" s="63"/>
      <c r="T293" s="64">
        <v>7100</v>
      </c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</row>
    <row r="294" spans="1:70" x14ac:dyDescent="0.25">
      <c r="A294" s="193">
        <f t="shared" si="30"/>
        <v>275</v>
      </c>
      <c r="B294" s="107">
        <f t="shared" si="31"/>
        <v>87</v>
      </c>
      <c r="C294" s="53" t="s">
        <v>108</v>
      </c>
      <c r="D294" s="107" t="s">
        <v>170</v>
      </c>
      <c r="E294" s="62">
        <f t="shared" si="29"/>
        <v>1520139.6099999999</v>
      </c>
      <c r="F294" s="63">
        <v>0</v>
      </c>
      <c r="G294" s="63">
        <v>0</v>
      </c>
      <c r="H294" s="63">
        <v>0</v>
      </c>
      <c r="I294" s="63">
        <v>0</v>
      </c>
      <c r="J294" s="63">
        <v>1512746.4</v>
      </c>
      <c r="K294" s="63"/>
      <c r="L294" s="63"/>
      <c r="M294" s="63">
        <v>0</v>
      </c>
      <c r="N294" s="63">
        <v>0</v>
      </c>
      <c r="O294" s="63">
        <v>0</v>
      </c>
      <c r="P294" s="63">
        <v>0</v>
      </c>
      <c r="Q294" s="63"/>
      <c r="R294" s="63"/>
      <c r="S294" s="63"/>
      <c r="T294" s="64">
        <v>7393.21</v>
      </c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</row>
    <row r="295" spans="1:70" x14ac:dyDescent="0.25">
      <c r="A295" s="193">
        <f t="shared" si="30"/>
        <v>276</v>
      </c>
      <c r="B295" s="107">
        <f t="shared" si="31"/>
        <v>88</v>
      </c>
      <c r="C295" s="53" t="s">
        <v>108</v>
      </c>
      <c r="D295" s="107" t="s">
        <v>167</v>
      </c>
      <c r="E295" s="62">
        <f t="shared" si="29"/>
        <v>7077032.3628470805</v>
      </c>
      <c r="F295" s="63">
        <v>5508552.4900000002</v>
      </c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4">
        <v>1568479.87284708</v>
      </c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</row>
    <row r="296" spans="1:70" x14ac:dyDescent="0.25">
      <c r="A296" s="193">
        <f t="shared" si="30"/>
        <v>277</v>
      </c>
      <c r="B296" s="107">
        <f t="shared" si="31"/>
        <v>89</v>
      </c>
      <c r="C296" s="53" t="s">
        <v>108</v>
      </c>
      <c r="D296" s="107" t="s">
        <v>168</v>
      </c>
      <c r="E296" s="62">
        <f t="shared" si="29"/>
        <v>5208321.6349089202</v>
      </c>
      <c r="F296" s="63"/>
      <c r="G296" s="63">
        <v>2875942.18</v>
      </c>
      <c r="H296" s="63"/>
      <c r="I296" s="63">
        <v>1546747.33</v>
      </c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4">
        <v>785632.12490892003</v>
      </c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</row>
    <row r="297" spans="1:70" x14ac:dyDescent="0.25">
      <c r="A297" s="193">
        <f t="shared" si="30"/>
        <v>278</v>
      </c>
      <c r="B297" s="107">
        <f t="shared" si="31"/>
        <v>90</v>
      </c>
      <c r="C297" s="53" t="s">
        <v>108</v>
      </c>
      <c r="D297" s="107" t="s">
        <v>173</v>
      </c>
      <c r="E297" s="62">
        <f t="shared" si="29"/>
        <v>13711741.662860559</v>
      </c>
      <c r="F297" s="63">
        <v>7864219.1399999997</v>
      </c>
      <c r="G297" s="63"/>
      <c r="H297" s="63">
        <v>2874656.38</v>
      </c>
      <c r="I297" s="63">
        <v>1502641.16</v>
      </c>
      <c r="J297" s="63"/>
      <c r="K297" s="63"/>
      <c r="L297" s="63"/>
      <c r="M297" s="63"/>
      <c r="N297" s="63"/>
      <c r="O297" s="63"/>
      <c r="P297" s="63"/>
      <c r="Q297" s="63"/>
      <c r="R297" s="63">
        <v>112877.92</v>
      </c>
      <c r="S297" s="63">
        <v>12000</v>
      </c>
      <c r="T297" s="64">
        <f>552568.07023182+792778.99262874</f>
        <v>1345347.0628605601</v>
      </c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</row>
    <row r="298" spans="1:70" x14ac:dyDescent="0.25">
      <c r="A298" s="193">
        <f t="shared" si="30"/>
        <v>279</v>
      </c>
      <c r="B298" s="107">
        <f t="shared" si="31"/>
        <v>91</v>
      </c>
      <c r="C298" s="53" t="s">
        <v>108</v>
      </c>
      <c r="D298" s="107" t="s">
        <v>369</v>
      </c>
      <c r="E298" s="62">
        <f t="shared" si="29"/>
        <v>4556185.9974070797</v>
      </c>
      <c r="F298" s="63"/>
      <c r="G298" s="63"/>
      <c r="H298" s="63">
        <v>3294191.61</v>
      </c>
      <c r="I298" s="63"/>
      <c r="J298" s="63"/>
      <c r="K298" s="63"/>
      <c r="L298" s="63"/>
      <c r="M298" s="63"/>
      <c r="N298" s="63"/>
      <c r="O298" s="63"/>
      <c r="P298" s="63"/>
      <c r="Q298" s="63"/>
      <c r="R298" s="63">
        <v>125749.67</v>
      </c>
      <c r="S298" s="63">
        <v>4000</v>
      </c>
      <c r="T298" s="64">
        <v>1132244.7174070801</v>
      </c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</row>
    <row r="299" spans="1:70" x14ac:dyDescent="0.25">
      <c r="A299" s="193">
        <f t="shared" si="30"/>
        <v>280</v>
      </c>
      <c r="B299" s="107">
        <f t="shared" si="31"/>
        <v>92</v>
      </c>
      <c r="C299" s="53" t="s">
        <v>108</v>
      </c>
      <c r="D299" s="107" t="s">
        <v>176</v>
      </c>
      <c r="E299" s="62">
        <f t="shared" si="29"/>
        <v>11580953.942622293</v>
      </c>
      <c r="F299" s="63"/>
      <c r="G299" s="63">
        <v>0</v>
      </c>
      <c r="H299" s="63">
        <v>0</v>
      </c>
      <c r="I299" s="63">
        <v>0</v>
      </c>
      <c r="J299" s="63"/>
      <c r="K299" s="63"/>
      <c r="L299" s="63"/>
      <c r="M299" s="63">
        <v>0</v>
      </c>
      <c r="N299" s="63">
        <v>7369291.1200000001</v>
      </c>
      <c r="O299" s="63">
        <v>0</v>
      </c>
      <c r="P299" s="63">
        <v>0</v>
      </c>
      <c r="Q299" s="63">
        <v>4050617</v>
      </c>
      <c r="R299" s="63"/>
      <c r="S299" s="63"/>
      <c r="T299" s="64">
        <v>161045.82262229201</v>
      </c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</row>
    <row r="300" spans="1:70" x14ac:dyDescent="0.25">
      <c r="A300" s="193">
        <f t="shared" si="30"/>
        <v>281</v>
      </c>
      <c r="B300" s="107">
        <f t="shared" si="31"/>
        <v>93</v>
      </c>
      <c r="C300" s="53" t="s">
        <v>108</v>
      </c>
      <c r="D300" s="107" t="s">
        <v>371</v>
      </c>
      <c r="E300" s="110">
        <f t="shared" si="29"/>
        <v>1600200.6971845801</v>
      </c>
      <c r="F300" s="63">
        <v>0</v>
      </c>
      <c r="G300" s="63">
        <v>0</v>
      </c>
      <c r="H300" s="63">
        <v>1566527.86</v>
      </c>
      <c r="I300" s="63">
        <v>0</v>
      </c>
      <c r="J300" s="63">
        <v>0</v>
      </c>
      <c r="K300" s="63"/>
      <c r="L300" s="63"/>
      <c r="M300" s="63">
        <v>0</v>
      </c>
      <c r="N300" s="63">
        <v>0</v>
      </c>
      <c r="O300" s="63">
        <v>0</v>
      </c>
      <c r="P300" s="63"/>
      <c r="Q300" s="63">
        <v>0</v>
      </c>
      <c r="R300" s="63"/>
      <c r="S300" s="63"/>
      <c r="T300" s="64">
        <v>33672.837184579999</v>
      </c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</row>
    <row r="301" spans="1:70" x14ac:dyDescent="0.25">
      <c r="A301" s="193">
        <f t="shared" si="30"/>
        <v>282</v>
      </c>
      <c r="B301" s="107">
        <f t="shared" si="31"/>
        <v>94</v>
      </c>
      <c r="C301" s="53" t="s">
        <v>108</v>
      </c>
      <c r="D301" s="107" t="s">
        <v>177</v>
      </c>
      <c r="E301" s="110">
        <f t="shared" si="29"/>
        <v>2910825.57</v>
      </c>
      <c r="F301" s="63">
        <v>2910825.57</v>
      </c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4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</row>
    <row r="302" spans="1:70" x14ac:dyDescent="0.25">
      <c r="A302" s="193">
        <f t="shared" si="30"/>
        <v>283</v>
      </c>
      <c r="B302" s="107">
        <f t="shared" si="31"/>
        <v>95</v>
      </c>
      <c r="C302" s="53" t="s">
        <v>108</v>
      </c>
      <c r="D302" s="107" t="s">
        <v>372</v>
      </c>
      <c r="E302" s="62">
        <f t="shared" si="29"/>
        <v>494347.02341199998</v>
      </c>
      <c r="F302" s="63">
        <v>0</v>
      </c>
      <c r="G302" s="63">
        <v>0</v>
      </c>
      <c r="H302" s="63">
        <v>0</v>
      </c>
      <c r="I302" s="63">
        <v>0</v>
      </c>
      <c r="J302" s="63">
        <v>491444.89899999998</v>
      </c>
      <c r="K302" s="63"/>
      <c r="L302" s="63"/>
      <c r="M302" s="63">
        <v>0</v>
      </c>
      <c r="N302" s="63">
        <v>0</v>
      </c>
      <c r="O302" s="63">
        <v>0</v>
      </c>
      <c r="P302" s="63"/>
      <c r="Q302" s="63"/>
      <c r="R302" s="63"/>
      <c r="S302" s="63"/>
      <c r="T302" s="64">
        <v>2902.1244120000001</v>
      </c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</row>
    <row r="303" spans="1:70" x14ac:dyDescent="0.25">
      <c r="A303" s="193">
        <f t="shared" si="30"/>
        <v>284</v>
      </c>
      <c r="B303" s="107">
        <f t="shared" si="31"/>
        <v>96</v>
      </c>
      <c r="C303" s="53" t="s">
        <v>108</v>
      </c>
      <c r="D303" s="107" t="s">
        <v>373</v>
      </c>
      <c r="E303" s="62">
        <f t="shared" si="29"/>
        <v>13217590.9148302</v>
      </c>
      <c r="F303" s="63">
        <v>0</v>
      </c>
      <c r="G303" s="63">
        <v>0</v>
      </c>
      <c r="H303" s="63"/>
      <c r="I303" s="63">
        <v>0</v>
      </c>
      <c r="J303" s="63">
        <v>0</v>
      </c>
      <c r="K303" s="63"/>
      <c r="L303" s="63"/>
      <c r="M303" s="63">
        <v>0</v>
      </c>
      <c r="N303" s="63">
        <v>12925050.76</v>
      </c>
      <c r="O303" s="63">
        <v>0</v>
      </c>
      <c r="P303" s="63"/>
      <c r="Q303" s="63">
        <v>0</v>
      </c>
      <c r="R303" s="63"/>
      <c r="S303" s="63"/>
      <c r="T303" s="64">
        <v>292540.15483020002</v>
      </c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</row>
    <row r="304" spans="1:70" x14ac:dyDescent="0.25">
      <c r="A304" s="193">
        <f t="shared" si="30"/>
        <v>285</v>
      </c>
      <c r="B304" s="107">
        <f t="shared" si="31"/>
        <v>97</v>
      </c>
      <c r="C304" s="53" t="s">
        <v>108</v>
      </c>
      <c r="D304" s="107" t="s">
        <v>374</v>
      </c>
      <c r="E304" s="62">
        <f t="shared" ref="E304:E335" si="32">SUBTOTAL(9, F304:T304)</f>
        <v>8014222.757894001</v>
      </c>
      <c r="F304" s="63"/>
      <c r="G304" s="63"/>
      <c r="H304" s="63"/>
      <c r="I304" s="63">
        <v>0</v>
      </c>
      <c r="J304" s="63">
        <v>1014819.95</v>
      </c>
      <c r="K304" s="63"/>
      <c r="L304" s="63"/>
      <c r="M304" s="63"/>
      <c r="N304" s="63"/>
      <c r="O304" s="63"/>
      <c r="P304" s="63"/>
      <c r="Q304" s="63">
        <v>6995292.4800000004</v>
      </c>
      <c r="R304" s="63"/>
      <c r="S304" s="63"/>
      <c r="T304" s="64">
        <v>4110.327894</v>
      </c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</row>
    <row r="305" spans="1:70" x14ac:dyDescent="0.25">
      <c r="A305" s="193">
        <f t="shared" ref="A305:A336" si="33">+A304+1</f>
        <v>286</v>
      </c>
      <c r="B305" s="107">
        <f t="shared" ref="B305:B336" si="34">+B304+1</f>
        <v>98</v>
      </c>
      <c r="C305" s="53" t="s">
        <v>108</v>
      </c>
      <c r="D305" s="107" t="s">
        <v>375</v>
      </c>
      <c r="E305" s="110">
        <f t="shared" si="32"/>
        <v>2798159.0951388618</v>
      </c>
      <c r="F305" s="63"/>
      <c r="G305" s="63"/>
      <c r="H305" s="63">
        <v>1394976.29</v>
      </c>
      <c r="I305" s="63"/>
      <c r="J305" s="63"/>
      <c r="K305" s="63"/>
      <c r="L305" s="63"/>
      <c r="M305" s="63">
        <v>0</v>
      </c>
      <c r="N305" s="63">
        <v>0</v>
      </c>
      <c r="O305" s="63">
        <v>0</v>
      </c>
      <c r="P305" s="63"/>
      <c r="Q305" s="63">
        <v>397050</v>
      </c>
      <c r="R305" s="63">
        <v>266163.33</v>
      </c>
      <c r="S305" s="63">
        <v>6857.14</v>
      </c>
      <c r="T305" s="64">
        <v>733112.33513886202</v>
      </c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</row>
    <row r="306" spans="1:70" x14ac:dyDescent="0.25">
      <c r="A306" s="193">
        <f t="shared" si="33"/>
        <v>287</v>
      </c>
      <c r="B306" s="107">
        <f t="shared" si="34"/>
        <v>99</v>
      </c>
      <c r="C306" s="53" t="s">
        <v>108</v>
      </c>
      <c r="D306" s="107" t="s">
        <v>376</v>
      </c>
      <c r="E306" s="110">
        <f t="shared" si="32"/>
        <v>25555659.228427619</v>
      </c>
      <c r="F306" s="63"/>
      <c r="G306" s="63"/>
      <c r="H306" s="63"/>
      <c r="I306" s="63"/>
      <c r="J306" s="63"/>
      <c r="K306" s="63"/>
      <c r="L306" s="63"/>
      <c r="M306" s="63"/>
      <c r="N306" s="63">
        <v>16572168.380000001</v>
      </c>
      <c r="O306" s="63"/>
      <c r="P306" s="63"/>
      <c r="Q306" s="63">
        <v>7332571.2599999998</v>
      </c>
      <c r="R306" s="63">
        <v>557738.81000000006</v>
      </c>
      <c r="S306" s="63">
        <v>6000</v>
      </c>
      <c r="T306" s="64">
        <v>1087180.77842762</v>
      </c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</row>
    <row r="307" spans="1:70" x14ac:dyDescent="0.25">
      <c r="A307" s="193">
        <f t="shared" si="33"/>
        <v>288</v>
      </c>
      <c r="B307" s="107">
        <f t="shared" si="34"/>
        <v>100</v>
      </c>
      <c r="C307" s="53" t="s">
        <v>108</v>
      </c>
      <c r="D307" s="107" t="s">
        <v>178</v>
      </c>
      <c r="E307" s="110">
        <f t="shared" si="32"/>
        <v>12858404.06377802</v>
      </c>
      <c r="F307" s="63"/>
      <c r="G307" s="63"/>
      <c r="H307" s="63"/>
      <c r="I307" s="63"/>
      <c r="J307" s="63"/>
      <c r="K307" s="63"/>
      <c r="L307" s="63"/>
      <c r="M307" s="63"/>
      <c r="N307" s="63">
        <v>11436125.949999999</v>
      </c>
      <c r="O307" s="63">
        <v>0</v>
      </c>
      <c r="P307" s="63"/>
      <c r="Q307" s="63"/>
      <c r="R307" s="63">
        <v>459249.81</v>
      </c>
      <c r="S307" s="63">
        <v>16000</v>
      </c>
      <c r="T307" s="64">
        <v>947028.30377802101</v>
      </c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</row>
    <row r="308" spans="1:70" x14ac:dyDescent="0.25">
      <c r="A308" s="193">
        <f t="shared" si="33"/>
        <v>289</v>
      </c>
      <c r="B308" s="107">
        <f t="shared" si="34"/>
        <v>101</v>
      </c>
      <c r="C308" s="53" t="s">
        <v>108</v>
      </c>
      <c r="D308" s="107" t="s">
        <v>378</v>
      </c>
      <c r="E308" s="110">
        <f t="shared" si="32"/>
        <v>35571965.029185772</v>
      </c>
      <c r="F308" s="63"/>
      <c r="G308" s="63"/>
      <c r="H308" s="63"/>
      <c r="I308" s="63"/>
      <c r="J308" s="63"/>
      <c r="K308" s="63"/>
      <c r="L308" s="63"/>
      <c r="M308" s="63">
        <v>0</v>
      </c>
      <c r="N308" s="63">
        <v>12001166</v>
      </c>
      <c r="O308" s="63">
        <v>0</v>
      </c>
      <c r="P308" s="63">
        <v>21351135</v>
      </c>
      <c r="Q308" s="63"/>
      <c r="R308" s="63">
        <v>544304.54</v>
      </c>
      <c r="S308" s="63">
        <v>3428.57</v>
      </c>
      <c r="T308" s="64">
        <v>1671930.91918577</v>
      </c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</row>
    <row r="309" spans="1:70" x14ac:dyDescent="0.25">
      <c r="A309" s="193">
        <f t="shared" si="33"/>
        <v>290</v>
      </c>
      <c r="B309" s="107">
        <f t="shared" si="34"/>
        <v>102</v>
      </c>
      <c r="C309" s="53" t="s">
        <v>108</v>
      </c>
      <c r="D309" s="107" t="s">
        <v>180</v>
      </c>
      <c r="E309" s="62">
        <f t="shared" si="32"/>
        <v>1270509.1365078399</v>
      </c>
      <c r="F309" s="63"/>
      <c r="G309" s="63"/>
      <c r="H309" s="63"/>
      <c r="I309" s="63">
        <v>754929.79</v>
      </c>
      <c r="J309" s="63">
        <v>0</v>
      </c>
      <c r="K309" s="63"/>
      <c r="L309" s="63"/>
      <c r="M309" s="63">
        <v>0</v>
      </c>
      <c r="N309" s="63"/>
      <c r="O309" s="63">
        <v>0</v>
      </c>
      <c r="P309" s="63">
        <v>0</v>
      </c>
      <c r="Q309" s="63"/>
      <c r="R309" s="63">
        <v>27925.62</v>
      </c>
      <c r="S309" s="63">
        <v>4000</v>
      </c>
      <c r="T309" s="64">
        <v>483653.72650783998</v>
      </c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</row>
    <row r="310" spans="1:70" x14ac:dyDescent="0.25">
      <c r="A310" s="193">
        <f t="shared" si="33"/>
        <v>291</v>
      </c>
      <c r="B310" s="107">
        <f t="shared" si="34"/>
        <v>103</v>
      </c>
      <c r="C310" s="53" t="s">
        <v>108</v>
      </c>
      <c r="D310" s="107" t="s">
        <v>379</v>
      </c>
      <c r="E310" s="62">
        <f t="shared" si="32"/>
        <v>986383.87502799998</v>
      </c>
      <c r="F310" s="63"/>
      <c r="G310" s="63"/>
      <c r="H310" s="63"/>
      <c r="I310" s="63"/>
      <c r="J310" s="63">
        <v>982262</v>
      </c>
      <c r="K310" s="63"/>
      <c r="L310" s="63"/>
      <c r="M310" s="63"/>
      <c r="N310" s="63"/>
      <c r="O310" s="63"/>
      <c r="P310" s="63"/>
      <c r="Q310" s="63">
        <v>0</v>
      </c>
      <c r="R310" s="63"/>
      <c r="S310" s="63"/>
      <c r="T310" s="64">
        <v>4121.8750280000004</v>
      </c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</row>
    <row r="311" spans="1:70" s="136" customFormat="1" x14ac:dyDescent="0.25">
      <c r="A311" s="193">
        <f t="shared" si="33"/>
        <v>292</v>
      </c>
      <c r="B311" s="107">
        <f t="shared" si="34"/>
        <v>104</v>
      </c>
      <c r="C311" s="53" t="s">
        <v>108</v>
      </c>
      <c r="D311" s="107" t="s">
        <v>187</v>
      </c>
      <c r="E311" s="62">
        <f t="shared" si="32"/>
        <v>39293960.141443141</v>
      </c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>
        <v>31442611.48</v>
      </c>
      <c r="Q311" s="63">
        <v>5699540.9800000004</v>
      </c>
      <c r="R311" s="63">
        <v>607375.97</v>
      </c>
      <c r="S311" s="63">
        <v>6857.14</v>
      </c>
      <c r="T311" s="64">
        <v>1537574.57144314</v>
      </c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</row>
    <row r="312" spans="1:70" s="136" customFormat="1" x14ac:dyDescent="0.25">
      <c r="A312" s="193">
        <f t="shared" si="33"/>
        <v>293</v>
      </c>
      <c r="B312" s="107">
        <f t="shared" si="34"/>
        <v>105</v>
      </c>
      <c r="C312" s="53" t="s">
        <v>108</v>
      </c>
      <c r="D312" s="107" t="s">
        <v>380</v>
      </c>
      <c r="E312" s="62">
        <f t="shared" si="32"/>
        <v>7973186.4504506802</v>
      </c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>
        <v>6215148.2999999998</v>
      </c>
      <c r="R312" s="63">
        <v>253598.29</v>
      </c>
      <c r="S312" s="63">
        <v>3428.57</v>
      </c>
      <c r="T312" s="64">
        <v>1501011.2904506801</v>
      </c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</row>
    <row r="313" spans="1:70" x14ac:dyDescent="0.25">
      <c r="A313" s="193">
        <f t="shared" si="33"/>
        <v>294</v>
      </c>
      <c r="B313" s="107">
        <f t="shared" si="34"/>
        <v>106</v>
      </c>
      <c r="C313" s="53" t="s">
        <v>108</v>
      </c>
      <c r="D313" s="107" t="s">
        <v>381</v>
      </c>
      <c r="E313" s="110">
        <f t="shared" si="32"/>
        <v>24078282.86563985</v>
      </c>
      <c r="F313" s="63"/>
      <c r="G313" s="63"/>
      <c r="H313" s="63"/>
      <c r="I313" s="63"/>
      <c r="J313" s="63"/>
      <c r="K313" s="63"/>
      <c r="L313" s="63"/>
      <c r="M313" s="63"/>
      <c r="N313" s="63">
        <v>11858145.5</v>
      </c>
      <c r="O313" s="63">
        <v>0</v>
      </c>
      <c r="P313" s="63"/>
      <c r="Q313" s="63">
        <v>10159720.210000001</v>
      </c>
      <c r="R313" s="63">
        <v>524401.06999999995</v>
      </c>
      <c r="S313" s="63">
        <v>9600</v>
      </c>
      <c r="T313" s="64">
        <v>1526416.08563985</v>
      </c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</row>
    <row r="314" spans="1:70" s="136" customFormat="1" x14ac:dyDescent="0.25">
      <c r="A314" s="193">
        <f t="shared" si="33"/>
        <v>295</v>
      </c>
      <c r="B314" s="107">
        <f t="shared" si="34"/>
        <v>107</v>
      </c>
      <c r="C314" s="53" t="s">
        <v>108</v>
      </c>
      <c r="D314" s="107" t="s">
        <v>382</v>
      </c>
      <c r="E314" s="62">
        <f t="shared" si="32"/>
        <v>21047202.209023401</v>
      </c>
      <c r="F314" s="63">
        <v>9193389.0299999993</v>
      </c>
      <c r="G314" s="63">
        <v>2924499.67</v>
      </c>
      <c r="H314" s="63">
        <v>3230753.86</v>
      </c>
      <c r="I314" s="63">
        <v>3708442.52</v>
      </c>
      <c r="J314" s="63"/>
      <c r="K314" s="63"/>
      <c r="L314" s="63"/>
      <c r="M314" s="63"/>
      <c r="N314" s="63"/>
      <c r="O314" s="63"/>
      <c r="P314" s="63"/>
      <c r="Q314" s="63"/>
      <c r="R314" s="63">
        <v>226850.47</v>
      </c>
      <c r="S314" s="63">
        <v>38345.71</v>
      </c>
      <c r="T314" s="64">
        <f>43868.9490234015+1681052</f>
        <v>1724920.9490234016</v>
      </c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</row>
    <row r="315" spans="1:70" x14ac:dyDescent="0.25">
      <c r="A315" s="193">
        <f t="shared" si="33"/>
        <v>296</v>
      </c>
      <c r="B315" s="107">
        <f t="shared" si="34"/>
        <v>108</v>
      </c>
      <c r="C315" s="53" t="s">
        <v>108</v>
      </c>
      <c r="D315" s="107" t="s">
        <v>383</v>
      </c>
      <c r="E315" s="62">
        <f t="shared" si="32"/>
        <v>6444413.2562080007</v>
      </c>
      <c r="F315" s="63">
        <v>0</v>
      </c>
      <c r="G315" s="63"/>
      <c r="H315" s="63">
        <v>0</v>
      </c>
      <c r="I315" s="63"/>
      <c r="J315" s="63"/>
      <c r="K315" s="63"/>
      <c r="L315" s="63"/>
      <c r="M315" s="63">
        <v>0</v>
      </c>
      <c r="N315" s="63">
        <v>0</v>
      </c>
      <c r="O315" s="63">
        <v>0</v>
      </c>
      <c r="P315" s="63">
        <v>0</v>
      </c>
      <c r="Q315" s="63">
        <v>5650467.8200000003</v>
      </c>
      <c r="R315" s="63">
        <v>202915.28</v>
      </c>
      <c r="S315" s="63">
        <v>12000</v>
      </c>
      <c r="T315" s="64">
        <f>19668.156208+559362</f>
        <v>579030.15620800003</v>
      </c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</row>
    <row r="316" spans="1:70" s="136" customFormat="1" x14ac:dyDescent="0.25">
      <c r="A316" s="193">
        <f t="shared" si="33"/>
        <v>297</v>
      </c>
      <c r="B316" s="107">
        <f t="shared" si="34"/>
        <v>109</v>
      </c>
      <c r="C316" s="53" t="s">
        <v>108</v>
      </c>
      <c r="D316" s="107" t="s">
        <v>384</v>
      </c>
      <c r="E316" s="62">
        <f t="shared" si="32"/>
        <v>4637612.7555876188</v>
      </c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>
        <v>3781253.22</v>
      </c>
      <c r="R316" s="63">
        <v>188942.07999999999</v>
      </c>
      <c r="S316" s="63">
        <v>6000</v>
      </c>
      <c r="T316" s="64">
        <v>661417.45558761898</v>
      </c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</row>
    <row r="317" spans="1:70" x14ac:dyDescent="0.25">
      <c r="A317" s="193">
        <f t="shared" si="33"/>
        <v>298</v>
      </c>
      <c r="B317" s="107">
        <f t="shared" si="34"/>
        <v>110</v>
      </c>
      <c r="C317" s="53" t="s">
        <v>108</v>
      </c>
      <c r="D317" s="107" t="s">
        <v>194</v>
      </c>
      <c r="E317" s="62">
        <f t="shared" si="32"/>
        <v>15189969.617660001</v>
      </c>
      <c r="F317" s="63"/>
      <c r="G317" s="63"/>
      <c r="H317" s="63">
        <v>3542032.19</v>
      </c>
      <c r="I317" s="63"/>
      <c r="J317" s="63"/>
      <c r="K317" s="63"/>
      <c r="L317" s="63"/>
      <c r="M317" s="63">
        <v>0</v>
      </c>
      <c r="N317" s="63">
        <v>10714681.140000001</v>
      </c>
      <c r="O317" s="63">
        <v>0</v>
      </c>
      <c r="P317" s="63"/>
      <c r="Q317" s="63"/>
      <c r="R317" s="63"/>
      <c r="S317" s="63"/>
      <c r="T317" s="64">
        <v>933256.28766000003</v>
      </c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</row>
    <row r="318" spans="1:70" x14ac:dyDescent="0.25">
      <c r="A318" s="193">
        <f t="shared" si="33"/>
        <v>299</v>
      </c>
      <c r="B318" s="107">
        <f t="shared" si="34"/>
        <v>111</v>
      </c>
      <c r="C318" s="53" t="s">
        <v>108</v>
      </c>
      <c r="D318" s="107" t="s">
        <v>385</v>
      </c>
      <c r="E318" s="110">
        <f t="shared" si="32"/>
        <v>43340405.36744184</v>
      </c>
      <c r="F318" s="63">
        <v>10074980.949999999</v>
      </c>
      <c r="G318" s="63">
        <v>4483956.54</v>
      </c>
      <c r="H318" s="63">
        <v>3411282.04</v>
      </c>
      <c r="I318" s="63">
        <v>5243801.6900000004</v>
      </c>
      <c r="J318" s="63"/>
      <c r="K318" s="63"/>
      <c r="L318" s="63"/>
      <c r="M318" s="63">
        <v>0</v>
      </c>
      <c r="N318" s="63">
        <v>9153591.6999999993</v>
      </c>
      <c r="O318" s="63">
        <v>0</v>
      </c>
      <c r="P318" s="63"/>
      <c r="Q318" s="63">
        <v>8863513.9399999995</v>
      </c>
      <c r="R318" s="63"/>
      <c r="S318" s="63"/>
      <c r="T318" s="64">
        <v>2109278.5074418401</v>
      </c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</row>
    <row r="319" spans="1:70" x14ac:dyDescent="0.25">
      <c r="A319" s="193">
        <f t="shared" si="33"/>
        <v>300</v>
      </c>
      <c r="B319" s="107">
        <f t="shared" si="34"/>
        <v>112</v>
      </c>
      <c r="C319" s="53" t="s">
        <v>108</v>
      </c>
      <c r="D319" s="107" t="s">
        <v>191</v>
      </c>
      <c r="E319" s="62">
        <f t="shared" si="32"/>
        <v>2900243.0793955796</v>
      </c>
      <c r="F319" s="63">
        <v>2721466.55</v>
      </c>
      <c r="G319" s="63"/>
      <c r="H319" s="63">
        <v>0</v>
      </c>
      <c r="I319" s="63"/>
      <c r="J319" s="63"/>
      <c r="K319" s="63"/>
      <c r="L319" s="63"/>
      <c r="M319" s="63">
        <v>0</v>
      </c>
      <c r="N319" s="63">
        <v>0</v>
      </c>
      <c r="O319" s="63">
        <v>0</v>
      </c>
      <c r="P319" s="63"/>
      <c r="Q319" s="63">
        <v>0</v>
      </c>
      <c r="R319" s="63"/>
      <c r="S319" s="63"/>
      <c r="T319" s="64">
        <v>178776.52939558</v>
      </c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</row>
    <row r="320" spans="1:70" x14ac:dyDescent="0.25">
      <c r="A320" s="193">
        <f t="shared" si="33"/>
        <v>301</v>
      </c>
      <c r="B320" s="107">
        <f t="shared" si="34"/>
        <v>113</v>
      </c>
      <c r="C320" s="53" t="s">
        <v>108</v>
      </c>
      <c r="D320" s="107" t="s">
        <v>386</v>
      </c>
      <c r="E320" s="62">
        <f t="shared" si="32"/>
        <v>896822.83243978</v>
      </c>
      <c r="F320" s="63"/>
      <c r="G320" s="63"/>
      <c r="H320" s="63">
        <v>740900.59</v>
      </c>
      <c r="I320" s="63"/>
      <c r="J320" s="63"/>
      <c r="K320" s="63"/>
      <c r="L320" s="63"/>
      <c r="M320" s="63">
        <v>0</v>
      </c>
      <c r="N320" s="63">
        <v>0</v>
      </c>
      <c r="O320" s="63">
        <v>0</v>
      </c>
      <c r="P320" s="63"/>
      <c r="Q320" s="63">
        <v>0</v>
      </c>
      <c r="R320" s="63"/>
      <c r="S320" s="63"/>
      <c r="T320" s="64">
        <v>155922.24243978001</v>
      </c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</row>
    <row r="321" spans="1:70" x14ac:dyDescent="0.25">
      <c r="A321" s="193">
        <f t="shared" si="33"/>
        <v>302</v>
      </c>
      <c r="B321" s="107">
        <f t="shared" si="34"/>
        <v>114</v>
      </c>
      <c r="C321" s="53" t="s">
        <v>108</v>
      </c>
      <c r="D321" s="107" t="s">
        <v>387</v>
      </c>
      <c r="E321" s="110">
        <f t="shared" si="32"/>
        <v>10173814.098441519</v>
      </c>
      <c r="F321" s="63"/>
      <c r="G321" s="63"/>
      <c r="H321" s="63">
        <v>691534.88</v>
      </c>
      <c r="I321" s="63"/>
      <c r="J321" s="63"/>
      <c r="K321" s="63"/>
      <c r="L321" s="63"/>
      <c r="M321" s="63">
        <v>0</v>
      </c>
      <c r="N321" s="63">
        <v>4297021.2</v>
      </c>
      <c r="O321" s="63">
        <v>0</v>
      </c>
      <c r="P321" s="63">
        <v>4620135.5999999996</v>
      </c>
      <c r="Q321" s="63"/>
      <c r="R321" s="63"/>
      <c r="S321" s="63"/>
      <c r="T321" s="64">
        <v>565122.41844151996</v>
      </c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</row>
    <row r="322" spans="1:70" x14ac:dyDescent="0.25">
      <c r="A322" s="193">
        <f t="shared" si="33"/>
        <v>303</v>
      </c>
      <c r="B322" s="107">
        <f t="shared" si="34"/>
        <v>115</v>
      </c>
      <c r="C322" s="53" t="s">
        <v>108</v>
      </c>
      <c r="D322" s="107" t="s">
        <v>388</v>
      </c>
      <c r="E322" s="110">
        <f t="shared" si="32"/>
        <v>10133628.840523399</v>
      </c>
      <c r="F322" s="63">
        <v>5602096.1600000001</v>
      </c>
      <c r="G322" s="63"/>
      <c r="H322" s="63">
        <v>2119328.04</v>
      </c>
      <c r="I322" s="63">
        <v>2021455.51</v>
      </c>
      <c r="J322" s="63"/>
      <c r="K322" s="63"/>
      <c r="L322" s="63"/>
      <c r="M322" s="63">
        <v>0</v>
      </c>
      <c r="N322" s="63">
        <v>0</v>
      </c>
      <c r="O322" s="63">
        <v>0</v>
      </c>
      <c r="P322" s="63">
        <v>0</v>
      </c>
      <c r="Q322" s="63">
        <v>0</v>
      </c>
      <c r="R322" s="63">
        <v>75973.289999999994</v>
      </c>
      <c r="S322" s="63">
        <v>18000</v>
      </c>
      <c r="T322" s="64">
        <v>296775.84052339999</v>
      </c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</row>
    <row r="323" spans="1:70" x14ac:dyDescent="0.25">
      <c r="A323" s="193">
        <f t="shared" si="33"/>
        <v>304</v>
      </c>
      <c r="B323" s="107">
        <f t="shared" si="34"/>
        <v>116</v>
      </c>
      <c r="C323" s="53" t="s">
        <v>389</v>
      </c>
      <c r="D323" s="107" t="s">
        <v>390</v>
      </c>
      <c r="E323" s="62">
        <f>SUM(F323:T323)</f>
        <v>4503820.0088245077</v>
      </c>
      <c r="F323" s="107"/>
      <c r="G323" s="63"/>
      <c r="H323" s="63"/>
      <c r="I323" s="63"/>
      <c r="J323" s="63"/>
      <c r="K323" s="63"/>
      <c r="L323" s="63"/>
      <c r="M323" s="63"/>
      <c r="N323" s="63"/>
      <c r="O323" s="63"/>
      <c r="P323" s="63">
        <v>4363808.87</v>
      </c>
      <c r="Q323" s="63"/>
      <c r="R323" s="63"/>
      <c r="S323" s="63">
        <v>8000</v>
      </c>
      <c r="T323" s="64">
        <v>132011.138824508</v>
      </c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</row>
    <row r="324" spans="1:70" x14ac:dyDescent="0.25">
      <c r="A324" s="193">
        <f t="shared" si="33"/>
        <v>305</v>
      </c>
      <c r="B324" s="107">
        <f t="shared" si="34"/>
        <v>117</v>
      </c>
      <c r="C324" s="53" t="s">
        <v>389</v>
      </c>
      <c r="D324" s="107" t="s">
        <v>391</v>
      </c>
      <c r="E324" s="62">
        <f>SUM(F324:T324)</f>
        <v>4992096.7076214757</v>
      </c>
      <c r="F324" s="107"/>
      <c r="G324" s="63"/>
      <c r="H324" s="63"/>
      <c r="I324" s="63"/>
      <c r="J324" s="63"/>
      <c r="K324" s="63"/>
      <c r="L324" s="63"/>
      <c r="M324" s="63"/>
      <c r="N324" s="63"/>
      <c r="O324" s="63"/>
      <c r="P324" s="63">
        <v>4860835.68</v>
      </c>
      <c r="Q324" s="63"/>
      <c r="R324" s="63"/>
      <c r="S324" s="63">
        <v>8000</v>
      </c>
      <c r="T324" s="64">
        <v>123261.02762147599</v>
      </c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</row>
    <row r="325" spans="1:70" x14ac:dyDescent="0.25">
      <c r="A325" s="193">
        <f t="shared" si="33"/>
        <v>306</v>
      </c>
      <c r="B325" s="107">
        <f t="shared" si="34"/>
        <v>118</v>
      </c>
      <c r="C325" s="53" t="s">
        <v>389</v>
      </c>
      <c r="D325" s="107" t="s">
        <v>392</v>
      </c>
      <c r="E325" s="62">
        <f>SUM(F325:T325)</f>
        <v>4390497.8059618957</v>
      </c>
      <c r="F325" s="107"/>
      <c r="G325" s="63"/>
      <c r="H325" s="63"/>
      <c r="I325" s="63"/>
      <c r="J325" s="63"/>
      <c r="K325" s="63"/>
      <c r="L325" s="63"/>
      <c r="M325" s="63"/>
      <c r="N325" s="63"/>
      <c r="O325" s="63"/>
      <c r="P325" s="63">
        <v>4274357.95</v>
      </c>
      <c r="Q325" s="63"/>
      <c r="R325" s="63"/>
      <c r="S325" s="63">
        <v>4800</v>
      </c>
      <c r="T325" s="64">
        <v>111339.855961896</v>
      </c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</row>
    <row r="326" spans="1:70" x14ac:dyDescent="0.25">
      <c r="A326" s="193">
        <f t="shared" si="33"/>
        <v>307</v>
      </c>
      <c r="B326" s="107">
        <f t="shared" si="34"/>
        <v>119</v>
      </c>
      <c r="C326" s="53" t="s">
        <v>204</v>
      </c>
      <c r="D326" s="107" t="s">
        <v>394</v>
      </c>
      <c r="E326" s="62">
        <f t="shared" ref="E326:E357" si="35">SUBTOTAL(9, F326:T326)</f>
        <v>3832101.0341660003</v>
      </c>
      <c r="F326" s="63">
        <v>0</v>
      </c>
      <c r="G326" s="63">
        <v>0</v>
      </c>
      <c r="H326" s="63">
        <v>0</v>
      </c>
      <c r="I326" s="63">
        <v>0</v>
      </c>
      <c r="J326" s="63">
        <v>0</v>
      </c>
      <c r="K326" s="63"/>
      <c r="L326" s="63"/>
      <c r="M326" s="63">
        <v>0</v>
      </c>
      <c r="N326" s="63">
        <v>0</v>
      </c>
      <c r="O326" s="63">
        <v>0</v>
      </c>
      <c r="P326" s="63">
        <v>3647660.37</v>
      </c>
      <c r="Q326" s="63">
        <v>0</v>
      </c>
      <c r="R326" s="63">
        <v>37720.83</v>
      </c>
      <c r="S326" s="63">
        <v>24000</v>
      </c>
      <c r="T326" s="64">
        <v>122719.834166</v>
      </c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</row>
    <row r="327" spans="1:70" x14ac:dyDescent="0.25">
      <c r="A327" s="193">
        <f t="shared" si="33"/>
        <v>308</v>
      </c>
      <c r="B327" s="107">
        <f t="shared" si="34"/>
        <v>120</v>
      </c>
      <c r="C327" s="53" t="s">
        <v>206</v>
      </c>
      <c r="D327" s="107" t="s">
        <v>395</v>
      </c>
      <c r="E327" s="62">
        <f t="shared" si="35"/>
        <v>8647683.5081600007</v>
      </c>
      <c r="F327" s="63">
        <v>0</v>
      </c>
      <c r="G327" s="63">
        <v>0</v>
      </c>
      <c r="H327" s="63">
        <v>0</v>
      </c>
      <c r="I327" s="63">
        <v>0</v>
      </c>
      <c r="J327" s="63">
        <v>0</v>
      </c>
      <c r="K327" s="63"/>
      <c r="L327" s="63"/>
      <c r="M327" s="63">
        <v>0</v>
      </c>
      <c r="N327" s="63">
        <v>8397877.9900000002</v>
      </c>
      <c r="O327" s="63">
        <v>0</v>
      </c>
      <c r="P327" s="63">
        <v>0</v>
      </c>
      <c r="Q327" s="63">
        <v>0</v>
      </c>
      <c r="R327" s="63">
        <v>44378.15</v>
      </c>
      <c r="S327" s="63">
        <v>24000</v>
      </c>
      <c r="T327" s="64">
        <v>181427.36816000001</v>
      </c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</row>
    <row r="328" spans="1:70" x14ac:dyDescent="0.25">
      <c r="A328" s="193">
        <f t="shared" si="33"/>
        <v>309</v>
      </c>
      <c r="B328" s="107">
        <f t="shared" si="34"/>
        <v>121</v>
      </c>
      <c r="C328" s="53" t="s">
        <v>206</v>
      </c>
      <c r="D328" s="107" t="s">
        <v>396</v>
      </c>
      <c r="E328" s="62">
        <f t="shared" si="35"/>
        <v>5522983.8570600003</v>
      </c>
      <c r="F328" s="63">
        <v>0</v>
      </c>
      <c r="G328" s="63">
        <v>0</v>
      </c>
      <c r="H328" s="63">
        <v>0</v>
      </c>
      <c r="I328" s="63">
        <v>0</v>
      </c>
      <c r="J328" s="63">
        <v>0</v>
      </c>
      <c r="K328" s="63"/>
      <c r="L328" s="63"/>
      <c r="M328" s="63">
        <v>0</v>
      </c>
      <c r="N328" s="63">
        <v>5277865.75</v>
      </c>
      <c r="O328" s="63">
        <v>0</v>
      </c>
      <c r="P328" s="63">
        <v>0</v>
      </c>
      <c r="Q328" s="63">
        <v>0</v>
      </c>
      <c r="R328" s="63">
        <v>45375.360000000001</v>
      </c>
      <c r="S328" s="63">
        <v>24000</v>
      </c>
      <c r="T328" s="64">
        <v>175742.74705999999</v>
      </c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</row>
    <row r="329" spans="1:70" x14ac:dyDescent="0.25">
      <c r="A329" s="193">
        <f t="shared" si="33"/>
        <v>310</v>
      </c>
      <c r="B329" s="107">
        <f t="shared" si="34"/>
        <v>122</v>
      </c>
      <c r="C329" s="53" t="s">
        <v>206</v>
      </c>
      <c r="D329" s="107" t="s">
        <v>207</v>
      </c>
      <c r="E329" s="62">
        <f t="shared" si="35"/>
        <v>2531072.4384837402</v>
      </c>
      <c r="F329" s="63"/>
      <c r="G329" s="63"/>
      <c r="H329" s="63">
        <v>0</v>
      </c>
      <c r="I329" s="63"/>
      <c r="J329" s="63"/>
      <c r="K329" s="63"/>
      <c r="L329" s="63"/>
      <c r="M329" s="63">
        <v>0</v>
      </c>
      <c r="N329" s="63">
        <v>0</v>
      </c>
      <c r="O329" s="63">
        <v>2289454.4300000002</v>
      </c>
      <c r="P329" s="63">
        <v>0</v>
      </c>
      <c r="Q329" s="63"/>
      <c r="R329" s="63"/>
      <c r="S329" s="63"/>
      <c r="T329" s="64">
        <v>241618.00848374001</v>
      </c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</row>
    <row r="330" spans="1:70" ht="13.5" customHeight="1" x14ac:dyDescent="0.25">
      <c r="A330" s="193">
        <f t="shared" si="33"/>
        <v>311</v>
      </c>
      <c r="B330" s="107">
        <f t="shared" si="34"/>
        <v>123</v>
      </c>
      <c r="C330" s="53" t="s">
        <v>206</v>
      </c>
      <c r="D330" s="107" t="s">
        <v>209</v>
      </c>
      <c r="E330" s="62">
        <f t="shared" si="35"/>
        <v>3298610.7099898201</v>
      </c>
      <c r="F330" s="63"/>
      <c r="G330" s="63"/>
      <c r="H330" s="63">
        <v>0</v>
      </c>
      <c r="I330" s="63"/>
      <c r="J330" s="63"/>
      <c r="K330" s="63"/>
      <c r="L330" s="63"/>
      <c r="M330" s="63">
        <v>0</v>
      </c>
      <c r="N330" s="63">
        <v>0</v>
      </c>
      <c r="O330" s="63">
        <v>3010833.7</v>
      </c>
      <c r="P330" s="63">
        <v>0</v>
      </c>
      <c r="Q330" s="63"/>
      <c r="R330" s="63"/>
      <c r="S330" s="63"/>
      <c r="T330" s="64">
        <v>287777.00998982001</v>
      </c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</row>
    <row r="331" spans="1:70" x14ac:dyDescent="0.25">
      <c r="A331" s="193">
        <f t="shared" si="33"/>
        <v>312</v>
      </c>
      <c r="B331" s="107">
        <f t="shared" si="34"/>
        <v>124</v>
      </c>
      <c r="C331" s="53" t="s">
        <v>397</v>
      </c>
      <c r="D331" s="107" t="s">
        <v>398</v>
      </c>
      <c r="E331" s="62">
        <f t="shared" si="35"/>
        <v>1689825.3072890537</v>
      </c>
      <c r="F331" s="63">
        <v>0</v>
      </c>
      <c r="G331" s="63">
        <v>0</v>
      </c>
      <c r="H331" s="63">
        <v>1652498.41</v>
      </c>
      <c r="I331" s="63">
        <v>0</v>
      </c>
      <c r="J331" s="63">
        <v>0</v>
      </c>
      <c r="K331" s="63"/>
      <c r="L331" s="63"/>
      <c r="M331" s="63">
        <v>0</v>
      </c>
      <c r="N331" s="63">
        <v>0</v>
      </c>
      <c r="O331" s="63">
        <v>0</v>
      </c>
      <c r="P331" s="63">
        <v>0</v>
      </c>
      <c r="Q331" s="63">
        <v>0</v>
      </c>
      <c r="R331" s="63"/>
      <c r="S331" s="63"/>
      <c r="T331" s="64">
        <v>37326.897289053799</v>
      </c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</row>
    <row r="332" spans="1:70" x14ac:dyDescent="0.25">
      <c r="A332" s="193">
        <f t="shared" si="33"/>
        <v>313</v>
      </c>
      <c r="B332" s="107">
        <f t="shared" si="34"/>
        <v>125</v>
      </c>
      <c r="C332" s="53" t="s">
        <v>397</v>
      </c>
      <c r="D332" s="107" t="s">
        <v>399</v>
      </c>
      <c r="E332" s="62">
        <f t="shared" si="35"/>
        <v>1452449.2224496503</v>
      </c>
      <c r="F332" s="63">
        <v>0</v>
      </c>
      <c r="G332" s="63">
        <v>0</v>
      </c>
      <c r="H332" s="63">
        <v>1424229.18</v>
      </c>
      <c r="I332" s="63">
        <v>0</v>
      </c>
      <c r="J332" s="63">
        <v>0</v>
      </c>
      <c r="K332" s="63"/>
      <c r="L332" s="63"/>
      <c r="M332" s="63">
        <v>0</v>
      </c>
      <c r="N332" s="63">
        <v>0</v>
      </c>
      <c r="O332" s="63">
        <v>0</v>
      </c>
      <c r="P332" s="63">
        <v>0</v>
      </c>
      <c r="Q332" s="63">
        <v>0</v>
      </c>
      <c r="R332" s="63"/>
      <c r="S332" s="63"/>
      <c r="T332" s="64">
        <v>28220.042449650398</v>
      </c>
      <c r="U332" s="205"/>
    </row>
    <row r="333" spans="1:70" x14ac:dyDescent="0.25">
      <c r="A333" s="193">
        <f t="shared" si="33"/>
        <v>314</v>
      </c>
      <c r="B333" s="107">
        <f t="shared" si="34"/>
        <v>126</v>
      </c>
      <c r="C333" s="53" t="s">
        <v>212</v>
      </c>
      <c r="D333" s="107" t="s">
        <v>213</v>
      </c>
      <c r="E333" s="62">
        <f t="shared" si="35"/>
        <v>17845432.137532003</v>
      </c>
      <c r="F333" s="63">
        <v>5026597.2300000004</v>
      </c>
      <c r="G333" s="63">
        <v>1761810.43</v>
      </c>
      <c r="H333" s="63">
        <v>2190965.2999999998</v>
      </c>
      <c r="I333" s="63">
        <v>962343.08</v>
      </c>
      <c r="J333" s="63"/>
      <c r="K333" s="63"/>
      <c r="L333" s="63"/>
      <c r="M333" s="63"/>
      <c r="N333" s="63"/>
      <c r="O333" s="63">
        <v>0</v>
      </c>
      <c r="P333" s="63"/>
      <c r="Q333" s="63">
        <v>7229466.9100000001</v>
      </c>
      <c r="R333" s="63"/>
      <c r="S333" s="63"/>
      <c r="T333" s="64">
        <v>674249.18753200001</v>
      </c>
      <c r="U333" s="205"/>
    </row>
    <row r="334" spans="1:70" x14ac:dyDescent="0.25">
      <c r="A334" s="193">
        <f t="shared" si="33"/>
        <v>315</v>
      </c>
      <c r="B334" s="107">
        <f t="shared" si="34"/>
        <v>127</v>
      </c>
      <c r="C334" s="53" t="s">
        <v>214</v>
      </c>
      <c r="D334" s="107" t="s">
        <v>215</v>
      </c>
      <c r="E334" s="62">
        <f t="shared" si="35"/>
        <v>18301775.177377328</v>
      </c>
      <c r="F334" s="63"/>
      <c r="G334" s="63"/>
      <c r="H334" s="63">
        <v>3897843.76</v>
      </c>
      <c r="I334" s="63"/>
      <c r="J334" s="63">
        <v>0</v>
      </c>
      <c r="K334" s="63"/>
      <c r="L334" s="63"/>
      <c r="M334" s="63">
        <v>0</v>
      </c>
      <c r="N334" s="63"/>
      <c r="O334" s="63">
        <v>0</v>
      </c>
      <c r="P334" s="63"/>
      <c r="Q334" s="63">
        <v>13397912.35</v>
      </c>
      <c r="R334" s="63"/>
      <c r="S334" s="63"/>
      <c r="T334" s="64">
        <v>1006019.06737733</v>
      </c>
      <c r="U334" s="205"/>
    </row>
    <row r="335" spans="1:70" x14ac:dyDescent="0.25">
      <c r="A335" s="193">
        <f t="shared" si="33"/>
        <v>316</v>
      </c>
      <c r="B335" s="107">
        <f t="shared" si="34"/>
        <v>128</v>
      </c>
      <c r="C335" s="53" t="s">
        <v>218</v>
      </c>
      <c r="D335" s="107" t="s">
        <v>402</v>
      </c>
      <c r="E335" s="110">
        <f t="shared" si="35"/>
        <v>843416.25869475002</v>
      </c>
      <c r="F335" s="63">
        <v>0</v>
      </c>
      <c r="G335" s="63">
        <v>0</v>
      </c>
      <c r="H335" s="63"/>
      <c r="I335" s="63">
        <v>0</v>
      </c>
      <c r="J335" s="63">
        <v>0</v>
      </c>
      <c r="K335" s="63"/>
      <c r="L335" s="63"/>
      <c r="M335" s="63">
        <v>0</v>
      </c>
      <c r="N335" s="63">
        <v>0</v>
      </c>
      <c r="O335" s="63"/>
      <c r="P335" s="63">
        <v>0</v>
      </c>
      <c r="Q335" s="63">
        <v>723055.9</v>
      </c>
      <c r="R335" s="63"/>
      <c r="S335" s="63"/>
      <c r="T335" s="64">
        <v>120360.35869475</v>
      </c>
      <c r="U335" s="205"/>
    </row>
    <row r="336" spans="1:70" x14ac:dyDescent="0.25">
      <c r="A336" s="193">
        <f t="shared" si="33"/>
        <v>317</v>
      </c>
      <c r="B336" s="107">
        <f t="shared" si="34"/>
        <v>129</v>
      </c>
      <c r="C336" s="53" t="s">
        <v>218</v>
      </c>
      <c r="D336" s="107" t="s">
        <v>403</v>
      </c>
      <c r="E336" s="110">
        <f t="shared" si="35"/>
        <v>17566220.958983961</v>
      </c>
      <c r="F336" s="63">
        <v>4702523.4800000004</v>
      </c>
      <c r="G336" s="63">
        <v>2022696.79</v>
      </c>
      <c r="H336" s="63">
        <v>1167206.26</v>
      </c>
      <c r="I336" s="63">
        <v>727220.9</v>
      </c>
      <c r="J336" s="63">
        <v>0</v>
      </c>
      <c r="K336" s="63"/>
      <c r="L336" s="63"/>
      <c r="M336" s="63">
        <v>0</v>
      </c>
      <c r="N336" s="63">
        <v>8051725.5099999998</v>
      </c>
      <c r="O336" s="63"/>
      <c r="P336" s="63"/>
      <c r="Q336" s="63">
        <v>499425.9</v>
      </c>
      <c r="R336" s="63"/>
      <c r="S336" s="63"/>
      <c r="T336" s="64">
        <v>395422.11898396001</v>
      </c>
      <c r="U336" s="205"/>
    </row>
    <row r="337" spans="1:26" s="69" customFormat="1" x14ac:dyDescent="0.25">
      <c r="A337" s="193">
        <f t="shared" ref="A337:A368" si="36">+A336+1</f>
        <v>318</v>
      </c>
      <c r="B337" s="107">
        <f t="shared" ref="B337:B368" si="37">+B336+1</f>
        <v>130</v>
      </c>
      <c r="C337" s="53" t="s">
        <v>218</v>
      </c>
      <c r="D337" s="107" t="s">
        <v>404</v>
      </c>
      <c r="E337" s="62">
        <f t="shared" si="35"/>
        <v>49585315.306552678</v>
      </c>
      <c r="F337" s="63">
        <v>7902876.3399999999</v>
      </c>
      <c r="G337" s="63">
        <v>4092711.1</v>
      </c>
      <c r="H337" s="63">
        <v>4295794.0999999996</v>
      </c>
      <c r="I337" s="63"/>
      <c r="J337" s="63"/>
      <c r="K337" s="63"/>
      <c r="L337" s="63"/>
      <c r="M337" s="63"/>
      <c r="N337" s="63">
        <v>28212794</v>
      </c>
      <c r="O337" s="63"/>
      <c r="P337" s="63"/>
      <c r="Q337" s="63">
        <v>2361500.36</v>
      </c>
      <c r="R337" s="63">
        <v>1221768.28</v>
      </c>
      <c r="S337" s="63">
        <v>17142.86</v>
      </c>
      <c r="T337" s="64">
        <v>1480728.2665526799</v>
      </c>
      <c r="U337" s="205"/>
      <c r="V337" s="1"/>
    </row>
    <row r="338" spans="1:26" x14ac:dyDescent="0.25">
      <c r="A338" s="193">
        <f t="shared" si="36"/>
        <v>319</v>
      </c>
      <c r="B338" s="107">
        <f t="shared" si="37"/>
        <v>131</v>
      </c>
      <c r="C338" s="53" t="s">
        <v>218</v>
      </c>
      <c r="D338" s="107" t="s">
        <v>405</v>
      </c>
      <c r="E338" s="110">
        <f t="shared" si="35"/>
        <v>12554320.920988241</v>
      </c>
      <c r="F338" s="63">
        <v>2561264.63</v>
      </c>
      <c r="G338" s="63">
        <v>1831960.83</v>
      </c>
      <c r="H338" s="63">
        <v>1491883.2</v>
      </c>
      <c r="I338" s="63">
        <v>879028.5</v>
      </c>
      <c r="J338" s="63">
        <v>0</v>
      </c>
      <c r="K338" s="63"/>
      <c r="L338" s="63"/>
      <c r="M338" s="63"/>
      <c r="N338" s="63">
        <v>4643142.2300000004</v>
      </c>
      <c r="O338" s="63"/>
      <c r="P338" s="63">
        <v>0</v>
      </c>
      <c r="Q338" s="63">
        <v>780917.81</v>
      </c>
      <c r="R338" s="63"/>
      <c r="S338" s="63"/>
      <c r="T338" s="64">
        <v>366123.72098823998</v>
      </c>
      <c r="U338" s="205"/>
    </row>
    <row r="339" spans="1:26" x14ac:dyDescent="0.25">
      <c r="A339" s="193">
        <f t="shared" si="36"/>
        <v>320</v>
      </c>
      <c r="B339" s="107">
        <f t="shared" si="37"/>
        <v>132</v>
      </c>
      <c r="C339" s="53" t="s">
        <v>218</v>
      </c>
      <c r="D339" s="107" t="s">
        <v>406</v>
      </c>
      <c r="E339" s="110">
        <f t="shared" si="35"/>
        <v>14618718.46067501</v>
      </c>
      <c r="F339" s="63">
        <v>10796865.48</v>
      </c>
      <c r="G339" s="63"/>
      <c r="H339" s="63">
        <v>2146766.7400000002</v>
      </c>
      <c r="I339" s="63"/>
      <c r="J339" s="63">
        <v>0</v>
      </c>
      <c r="K339" s="63"/>
      <c r="L339" s="63"/>
      <c r="M339" s="63">
        <v>0</v>
      </c>
      <c r="N339" s="63"/>
      <c r="O339" s="63">
        <v>0</v>
      </c>
      <c r="P339" s="63"/>
      <c r="Q339" s="63">
        <v>560127.01</v>
      </c>
      <c r="R339" s="63"/>
      <c r="S339" s="63"/>
      <c r="T339" s="64">
        <v>1114959.23067501</v>
      </c>
      <c r="U339" s="205"/>
    </row>
    <row r="340" spans="1:26" x14ac:dyDescent="0.25">
      <c r="A340" s="193">
        <f t="shared" si="36"/>
        <v>321</v>
      </c>
      <c r="B340" s="107">
        <f t="shared" si="37"/>
        <v>133</v>
      </c>
      <c r="C340" s="53" t="s">
        <v>218</v>
      </c>
      <c r="D340" s="107" t="s">
        <v>407</v>
      </c>
      <c r="E340" s="62">
        <f t="shared" si="35"/>
        <v>5525226.9730744772</v>
      </c>
      <c r="F340" s="180"/>
      <c r="G340" s="63"/>
      <c r="H340" s="63"/>
      <c r="I340" s="63"/>
      <c r="J340" s="63"/>
      <c r="K340" s="63"/>
      <c r="L340" s="63"/>
      <c r="M340" s="63">
        <v>5252854.22</v>
      </c>
      <c r="N340" s="63"/>
      <c r="O340" s="63"/>
      <c r="P340" s="63"/>
      <c r="Q340" s="63"/>
      <c r="R340" s="63">
        <v>103820.17</v>
      </c>
      <c r="S340" s="63">
        <v>18352.61</v>
      </c>
      <c r="T340" s="64">
        <v>150199.97307447699</v>
      </c>
      <c r="U340" s="205"/>
    </row>
    <row r="341" spans="1:26" x14ac:dyDescent="0.25">
      <c r="A341" s="193">
        <f t="shared" si="36"/>
        <v>322</v>
      </c>
      <c r="B341" s="107">
        <f t="shared" si="37"/>
        <v>134</v>
      </c>
      <c r="C341" s="53" t="s">
        <v>218</v>
      </c>
      <c r="D341" s="107" t="s">
        <v>409</v>
      </c>
      <c r="E341" s="110">
        <f t="shared" si="35"/>
        <v>4289797.6355283195</v>
      </c>
      <c r="F341" s="63"/>
      <c r="G341" s="63"/>
      <c r="H341" s="63"/>
      <c r="I341" s="63"/>
      <c r="J341" s="63">
        <v>0</v>
      </c>
      <c r="K341" s="63"/>
      <c r="L341" s="63"/>
      <c r="M341" s="63">
        <v>0</v>
      </c>
      <c r="N341" s="63">
        <v>4053363.43</v>
      </c>
      <c r="O341" s="63">
        <v>0</v>
      </c>
      <c r="P341" s="63"/>
      <c r="Q341" s="63"/>
      <c r="R341" s="63"/>
      <c r="S341" s="63"/>
      <c r="T341" s="64">
        <v>236434.205528319</v>
      </c>
      <c r="U341" s="205"/>
    </row>
    <row r="342" spans="1:26" x14ac:dyDescent="0.25">
      <c r="A342" s="193">
        <f t="shared" si="36"/>
        <v>323</v>
      </c>
      <c r="B342" s="107">
        <f t="shared" si="37"/>
        <v>135</v>
      </c>
      <c r="C342" s="53" t="s">
        <v>218</v>
      </c>
      <c r="D342" s="107" t="s">
        <v>410</v>
      </c>
      <c r="E342" s="110">
        <f t="shared" si="35"/>
        <v>12533998.285881002</v>
      </c>
      <c r="F342" s="63"/>
      <c r="G342" s="63"/>
      <c r="H342" s="63"/>
      <c r="I342" s="63"/>
      <c r="J342" s="63"/>
      <c r="K342" s="63"/>
      <c r="L342" s="63"/>
      <c r="M342" s="63">
        <v>0</v>
      </c>
      <c r="N342" s="63">
        <v>10962284.210000001</v>
      </c>
      <c r="O342" s="63">
        <v>0</v>
      </c>
      <c r="P342" s="63"/>
      <c r="Q342" s="63">
        <v>798146.76</v>
      </c>
      <c r="R342" s="63"/>
      <c r="S342" s="63"/>
      <c r="T342" s="64">
        <v>773567.31588100002</v>
      </c>
      <c r="U342" s="205"/>
    </row>
    <row r="343" spans="1:26" x14ac:dyDescent="0.25">
      <c r="A343" s="193">
        <f t="shared" si="36"/>
        <v>324</v>
      </c>
      <c r="B343" s="107">
        <f t="shared" si="37"/>
        <v>136</v>
      </c>
      <c r="C343" s="53" t="s">
        <v>218</v>
      </c>
      <c r="D343" s="107" t="s">
        <v>411</v>
      </c>
      <c r="E343" s="110">
        <f t="shared" si="35"/>
        <v>6210449.0085999602</v>
      </c>
      <c r="F343" s="63"/>
      <c r="G343" s="63"/>
      <c r="H343" s="63"/>
      <c r="I343" s="63"/>
      <c r="J343" s="63"/>
      <c r="K343" s="63"/>
      <c r="L343" s="63"/>
      <c r="M343" s="63">
        <v>0</v>
      </c>
      <c r="N343" s="63">
        <v>4587330.62</v>
      </c>
      <c r="O343" s="63">
        <v>0</v>
      </c>
      <c r="P343" s="63"/>
      <c r="Q343" s="63">
        <v>841430.69</v>
      </c>
      <c r="R343" s="63"/>
      <c r="S343" s="63"/>
      <c r="T343" s="64">
        <v>781687.69859995996</v>
      </c>
      <c r="U343" s="205"/>
    </row>
    <row r="344" spans="1:26" x14ac:dyDescent="0.25">
      <c r="A344" s="193">
        <f t="shared" si="36"/>
        <v>325</v>
      </c>
      <c r="B344" s="107">
        <f t="shared" si="37"/>
        <v>137</v>
      </c>
      <c r="C344" s="53" t="s">
        <v>218</v>
      </c>
      <c r="D344" s="107" t="s">
        <v>412</v>
      </c>
      <c r="E344" s="110">
        <f t="shared" si="35"/>
        <v>2486145.49402032</v>
      </c>
      <c r="F344" s="63"/>
      <c r="G344" s="63"/>
      <c r="H344" s="63"/>
      <c r="I344" s="63"/>
      <c r="J344" s="63">
        <v>0</v>
      </c>
      <c r="K344" s="63"/>
      <c r="L344" s="63"/>
      <c r="M344" s="63">
        <v>0</v>
      </c>
      <c r="N344" s="63"/>
      <c r="O344" s="63"/>
      <c r="P344" s="63"/>
      <c r="Q344" s="63">
        <v>1345945.45</v>
      </c>
      <c r="R344" s="63"/>
      <c r="S344" s="63"/>
      <c r="T344" s="64">
        <v>1140200.0440203201</v>
      </c>
      <c r="U344" s="205"/>
    </row>
    <row r="345" spans="1:26" x14ac:dyDescent="0.25">
      <c r="A345" s="193">
        <f t="shared" si="36"/>
        <v>326</v>
      </c>
      <c r="B345" s="107">
        <f t="shared" si="37"/>
        <v>138</v>
      </c>
      <c r="C345" s="53" t="s">
        <v>218</v>
      </c>
      <c r="D345" s="107" t="s">
        <v>413</v>
      </c>
      <c r="E345" s="62">
        <f t="shared" si="35"/>
        <v>17815269.208633319</v>
      </c>
      <c r="F345" s="63"/>
      <c r="G345" s="63"/>
      <c r="H345" s="63"/>
      <c r="I345" s="63"/>
      <c r="J345" s="63">
        <v>0</v>
      </c>
      <c r="K345" s="63"/>
      <c r="L345" s="63"/>
      <c r="M345" s="63">
        <v>0</v>
      </c>
      <c r="N345" s="63">
        <v>8787135.9700000007</v>
      </c>
      <c r="O345" s="63">
        <v>0</v>
      </c>
      <c r="P345" s="63">
        <v>8747101.7899999991</v>
      </c>
      <c r="Q345" s="63"/>
      <c r="R345" s="63"/>
      <c r="S345" s="63"/>
      <c r="T345" s="64">
        <v>281031.44863331999</v>
      </c>
      <c r="U345" s="205"/>
      <c r="Z345" s="136"/>
    </row>
    <row r="346" spans="1:26" x14ac:dyDescent="0.25">
      <c r="A346" s="193">
        <f t="shared" si="36"/>
        <v>327</v>
      </c>
      <c r="B346" s="107">
        <f t="shared" si="37"/>
        <v>139</v>
      </c>
      <c r="C346" s="53" t="s">
        <v>218</v>
      </c>
      <c r="D346" s="107" t="s">
        <v>414</v>
      </c>
      <c r="E346" s="110">
        <f t="shared" si="35"/>
        <v>13336952.836464221</v>
      </c>
      <c r="F346" s="63"/>
      <c r="G346" s="63"/>
      <c r="H346" s="63"/>
      <c r="I346" s="63"/>
      <c r="J346" s="63">
        <v>0</v>
      </c>
      <c r="K346" s="63"/>
      <c r="L346" s="63"/>
      <c r="M346" s="63">
        <v>0</v>
      </c>
      <c r="N346" s="63">
        <v>11687466.91</v>
      </c>
      <c r="O346" s="63">
        <v>0</v>
      </c>
      <c r="P346" s="63"/>
      <c r="Q346" s="63">
        <v>938169.31</v>
      </c>
      <c r="R346" s="63"/>
      <c r="S346" s="63"/>
      <c r="T346" s="64">
        <v>711316.61646421999</v>
      </c>
      <c r="U346" s="205"/>
    </row>
    <row r="347" spans="1:26" x14ac:dyDescent="0.25">
      <c r="A347" s="193">
        <f t="shared" si="36"/>
        <v>328</v>
      </c>
      <c r="B347" s="107">
        <f t="shared" si="37"/>
        <v>140</v>
      </c>
      <c r="C347" s="53" t="s">
        <v>218</v>
      </c>
      <c r="D347" s="107" t="s">
        <v>415</v>
      </c>
      <c r="E347" s="110">
        <f t="shared" si="35"/>
        <v>15375973.255012941</v>
      </c>
      <c r="F347" s="63">
        <v>3850862.68</v>
      </c>
      <c r="G347" s="63">
        <v>1527090.45</v>
      </c>
      <c r="H347" s="63">
        <v>1632419.86</v>
      </c>
      <c r="I347" s="63">
        <v>1086100.56</v>
      </c>
      <c r="J347" s="63">
        <v>0</v>
      </c>
      <c r="K347" s="63"/>
      <c r="L347" s="63"/>
      <c r="M347" s="63">
        <v>0</v>
      </c>
      <c r="N347" s="63">
        <v>5722546.3200000003</v>
      </c>
      <c r="O347" s="63"/>
      <c r="P347" s="63"/>
      <c r="Q347" s="63">
        <v>1165992.1599999999</v>
      </c>
      <c r="R347" s="63"/>
      <c r="S347" s="63"/>
      <c r="T347" s="64">
        <v>390961.22501294001</v>
      </c>
      <c r="U347" s="205"/>
    </row>
    <row r="348" spans="1:26" x14ac:dyDescent="0.25">
      <c r="A348" s="193">
        <f t="shared" si="36"/>
        <v>329</v>
      </c>
      <c r="B348" s="107">
        <f t="shared" si="37"/>
        <v>141</v>
      </c>
      <c r="C348" s="53" t="s">
        <v>218</v>
      </c>
      <c r="D348" s="107" t="s">
        <v>223</v>
      </c>
      <c r="E348" s="62">
        <f t="shared" si="35"/>
        <v>9964294.7782480009</v>
      </c>
      <c r="F348" s="63"/>
      <c r="G348" s="63"/>
      <c r="H348" s="63">
        <v>1203384.3999999999</v>
      </c>
      <c r="I348" s="63"/>
      <c r="J348" s="63">
        <v>0</v>
      </c>
      <c r="K348" s="63"/>
      <c r="L348" s="63"/>
      <c r="M348" s="63">
        <v>0</v>
      </c>
      <c r="N348" s="63"/>
      <c r="O348" s="63">
        <v>0</v>
      </c>
      <c r="P348" s="63">
        <v>8441987.2200000007</v>
      </c>
      <c r="Q348" s="63"/>
      <c r="R348" s="63"/>
      <c r="S348" s="63"/>
      <c r="T348" s="64">
        <v>318923.15824800002</v>
      </c>
      <c r="U348" s="205"/>
    </row>
    <row r="349" spans="1:26" x14ac:dyDescent="0.25">
      <c r="A349" s="193">
        <f t="shared" si="36"/>
        <v>330</v>
      </c>
      <c r="B349" s="107">
        <f t="shared" si="37"/>
        <v>142</v>
      </c>
      <c r="C349" s="53" t="s">
        <v>218</v>
      </c>
      <c r="D349" s="107" t="s">
        <v>416</v>
      </c>
      <c r="E349" s="110">
        <f t="shared" si="35"/>
        <v>8766797.8357355017</v>
      </c>
      <c r="F349" s="63"/>
      <c r="G349" s="63"/>
      <c r="H349" s="63">
        <v>1619194.32</v>
      </c>
      <c r="I349" s="63"/>
      <c r="J349" s="63">
        <v>0</v>
      </c>
      <c r="K349" s="63"/>
      <c r="L349" s="63"/>
      <c r="M349" s="63">
        <v>0</v>
      </c>
      <c r="N349" s="63">
        <v>5914808.4800000004</v>
      </c>
      <c r="O349" s="63">
        <v>0</v>
      </c>
      <c r="P349" s="63">
        <v>0</v>
      </c>
      <c r="Q349" s="63">
        <v>843345.56</v>
      </c>
      <c r="R349" s="63"/>
      <c r="S349" s="63"/>
      <c r="T349" s="64">
        <v>389449.47573549999</v>
      </c>
      <c r="U349" s="205"/>
    </row>
    <row r="350" spans="1:26" x14ac:dyDescent="0.25">
      <c r="A350" s="193">
        <f t="shared" si="36"/>
        <v>331</v>
      </c>
      <c r="B350" s="107">
        <f t="shared" si="37"/>
        <v>143</v>
      </c>
      <c r="C350" s="53" t="s">
        <v>224</v>
      </c>
      <c r="D350" s="107" t="s">
        <v>417</v>
      </c>
      <c r="E350" s="110">
        <f t="shared" si="35"/>
        <v>9990310.913740579</v>
      </c>
      <c r="F350" s="63"/>
      <c r="G350" s="63"/>
      <c r="H350" s="63">
        <v>6760576.6399999997</v>
      </c>
      <c r="I350" s="63"/>
      <c r="J350" s="63">
        <v>0</v>
      </c>
      <c r="K350" s="63"/>
      <c r="L350" s="63"/>
      <c r="M350" s="63"/>
      <c r="N350" s="63">
        <v>0</v>
      </c>
      <c r="O350" s="63">
        <v>0</v>
      </c>
      <c r="P350" s="63"/>
      <c r="Q350" s="63">
        <v>0</v>
      </c>
      <c r="R350" s="63">
        <v>312485.83</v>
      </c>
      <c r="S350" s="63">
        <v>2857.14</v>
      </c>
      <c r="T350" s="64">
        <v>2914391.3037405801</v>
      </c>
      <c r="U350" s="205"/>
      <c r="V350" s="136"/>
    </row>
    <row r="351" spans="1:26" x14ac:dyDescent="0.25">
      <c r="A351" s="193">
        <f t="shared" si="36"/>
        <v>332</v>
      </c>
      <c r="B351" s="107">
        <f t="shared" si="37"/>
        <v>144</v>
      </c>
      <c r="C351" s="53" t="s">
        <v>224</v>
      </c>
      <c r="D351" s="107" t="s">
        <v>418</v>
      </c>
      <c r="E351" s="62">
        <f t="shared" si="35"/>
        <v>3158227.0989919999</v>
      </c>
      <c r="F351" s="63"/>
      <c r="G351" s="63"/>
      <c r="H351" s="63"/>
      <c r="I351" s="63"/>
      <c r="J351" s="63">
        <v>0</v>
      </c>
      <c r="K351" s="63"/>
      <c r="L351" s="63"/>
      <c r="M351" s="63">
        <v>0</v>
      </c>
      <c r="N351" s="63"/>
      <c r="O351" s="63">
        <v>0</v>
      </c>
      <c r="P351" s="63">
        <v>0</v>
      </c>
      <c r="Q351" s="63">
        <v>2729687.92</v>
      </c>
      <c r="R351" s="63"/>
      <c r="S351" s="63"/>
      <c r="T351" s="64">
        <v>428539.178992</v>
      </c>
      <c r="U351" s="205"/>
    </row>
    <row r="352" spans="1:26" x14ac:dyDescent="0.25">
      <c r="A352" s="193">
        <f t="shared" si="36"/>
        <v>333</v>
      </c>
      <c r="B352" s="107">
        <f t="shared" si="37"/>
        <v>145</v>
      </c>
      <c r="C352" s="53" t="s">
        <v>224</v>
      </c>
      <c r="D352" s="107" t="s">
        <v>419</v>
      </c>
      <c r="E352" s="62">
        <f t="shared" si="35"/>
        <v>9530934.1546819601</v>
      </c>
      <c r="F352" s="63"/>
      <c r="H352" s="63"/>
      <c r="I352" s="63"/>
      <c r="J352" s="63"/>
      <c r="K352" s="63"/>
      <c r="L352" s="63"/>
      <c r="M352" s="63">
        <v>0</v>
      </c>
      <c r="N352" s="63"/>
      <c r="O352" s="63">
        <v>0</v>
      </c>
      <c r="P352" s="63"/>
      <c r="Q352" s="63">
        <v>9222273.9900000002</v>
      </c>
      <c r="R352" s="63"/>
      <c r="S352" s="63"/>
      <c r="T352" s="64">
        <v>308660.16468196001</v>
      </c>
      <c r="U352" s="205"/>
    </row>
    <row r="353" spans="1:22" x14ac:dyDescent="0.25">
      <c r="A353" s="193">
        <f t="shared" si="36"/>
        <v>334</v>
      </c>
      <c r="B353" s="107">
        <f t="shared" si="37"/>
        <v>146</v>
      </c>
      <c r="C353" s="53" t="s">
        <v>224</v>
      </c>
      <c r="D353" s="107" t="s">
        <v>239</v>
      </c>
      <c r="E353" s="62">
        <f t="shared" si="35"/>
        <v>7603592.7265236992</v>
      </c>
      <c r="F353" s="63">
        <v>7298871.8499999996</v>
      </c>
      <c r="G353" s="63"/>
      <c r="H353" s="63"/>
      <c r="I353" s="63"/>
      <c r="J353" s="63"/>
      <c r="K353" s="63"/>
      <c r="L353" s="63"/>
      <c r="M353" s="63">
        <v>0</v>
      </c>
      <c r="N353" s="63">
        <v>0</v>
      </c>
      <c r="O353" s="63">
        <v>0</v>
      </c>
      <c r="P353" s="63">
        <v>0</v>
      </c>
      <c r="Q353" s="63"/>
      <c r="R353" s="63"/>
      <c r="S353" s="63"/>
      <c r="T353" s="64">
        <v>304720.87652370002</v>
      </c>
      <c r="U353" s="205"/>
    </row>
    <row r="354" spans="1:22" x14ac:dyDescent="0.25">
      <c r="A354" s="193">
        <f t="shared" si="36"/>
        <v>335</v>
      </c>
      <c r="B354" s="107">
        <f t="shared" si="37"/>
        <v>147</v>
      </c>
      <c r="C354" s="53" t="s">
        <v>224</v>
      </c>
      <c r="D354" s="107" t="s">
        <v>238</v>
      </c>
      <c r="E354" s="62">
        <f t="shared" si="35"/>
        <v>30057636.198747598</v>
      </c>
      <c r="F354" s="63">
        <v>16253478.92</v>
      </c>
      <c r="G354" s="63"/>
      <c r="H354" s="63">
        <v>5982768.1600000001</v>
      </c>
      <c r="I354" s="63">
        <v>6173299.2699999996</v>
      </c>
      <c r="J354" s="63">
        <v>0</v>
      </c>
      <c r="K354" s="63"/>
      <c r="L354" s="63"/>
      <c r="M354" s="63">
        <v>0</v>
      </c>
      <c r="N354" s="63">
        <v>0</v>
      </c>
      <c r="O354" s="63">
        <v>0</v>
      </c>
      <c r="P354" s="63">
        <v>0</v>
      </c>
      <c r="Q354" s="63"/>
      <c r="R354" s="63"/>
      <c r="S354" s="63"/>
      <c r="T354" s="64">
        <v>1648089.8487476001</v>
      </c>
      <c r="U354" s="205"/>
    </row>
    <row r="355" spans="1:22" x14ac:dyDescent="0.25">
      <c r="A355" s="193">
        <f t="shared" si="36"/>
        <v>336</v>
      </c>
      <c r="B355" s="107">
        <f t="shared" si="37"/>
        <v>148</v>
      </c>
      <c r="C355" s="53" t="s">
        <v>224</v>
      </c>
      <c r="D355" s="107" t="s">
        <v>242</v>
      </c>
      <c r="E355" s="62">
        <f t="shared" si="35"/>
        <v>2695614.7541793203</v>
      </c>
      <c r="F355" s="63"/>
      <c r="G355" s="63"/>
      <c r="H355" s="63"/>
      <c r="I355" s="63"/>
      <c r="J355" s="63"/>
      <c r="K355" s="63"/>
      <c r="L355" s="63"/>
      <c r="M355" s="63">
        <v>0</v>
      </c>
      <c r="N355" s="63">
        <v>0</v>
      </c>
      <c r="O355" s="63">
        <v>0</v>
      </c>
      <c r="P355" s="63">
        <v>2120543.06</v>
      </c>
      <c r="Q355" s="63"/>
      <c r="R355" s="63"/>
      <c r="S355" s="63"/>
      <c r="T355" s="64">
        <v>575071.69417932001</v>
      </c>
      <c r="U355" s="205"/>
      <c r="V355" s="136"/>
    </row>
    <row r="356" spans="1:22" x14ac:dyDescent="0.25">
      <c r="A356" s="193">
        <f t="shared" si="36"/>
        <v>337</v>
      </c>
      <c r="B356" s="107">
        <f t="shared" si="37"/>
        <v>149</v>
      </c>
      <c r="C356" s="53" t="s">
        <v>244</v>
      </c>
      <c r="D356" s="107" t="s">
        <v>420</v>
      </c>
      <c r="E356" s="62">
        <f t="shared" si="35"/>
        <v>10399032.477202199</v>
      </c>
      <c r="F356" s="63"/>
      <c r="G356" s="63"/>
      <c r="H356" s="63"/>
      <c r="I356" s="63"/>
      <c r="J356" s="63"/>
      <c r="K356" s="63"/>
      <c r="L356" s="63"/>
      <c r="M356" s="63">
        <v>0</v>
      </c>
      <c r="N356" s="63">
        <v>9484647.8699999992</v>
      </c>
      <c r="O356" s="63">
        <v>0</v>
      </c>
      <c r="P356" s="63">
        <v>0</v>
      </c>
      <c r="Q356" s="63">
        <v>0</v>
      </c>
      <c r="R356" s="63"/>
      <c r="S356" s="63"/>
      <c r="T356" s="64">
        <v>914384.60720219999</v>
      </c>
      <c r="U356" s="205"/>
    </row>
    <row r="357" spans="1:22" x14ac:dyDescent="0.25">
      <c r="A357" s="193">
        <f t="shared" si="36"/>
        <v>338</v>
      </c>
      <c r="B357" s="107">
        <f t="shared" si="37"/>
        <v>150</v>
      </c>
      <c r="C357" s="53" t="s">
        <v>421</v>
      </c>
      <c r="D357" s="107" t="s">
        <v>422</v>
      </c>
      <c r="E357" s="62">
        <f t="shared" si="35"/>
        <v>2294426.722178</v>
      </c>
      <c r="F357" s="63"/>
      <c r="G357" s="63"/>
      <c r="H357" s="63">
        <v>1830078.26</v>
      </c>
      <c r="I357" s="63"/>
      <c r="J357" s="63">
        <v>0</v>
      </c>
      <c r="K357" s="63"/>
      <c r="L357" s="63"/>
      <c r="M357" s="63">
        <v>0</v>
      </c>
      <c r="N357" s="63">
        <v>0</v>
      </c>
      <c r="O357" s="63">
        <v>0</v>
      </c>
      <c r="P357" s="63"/>
      <c r="Q357" s="63">
        <v>0</v>
      </c>
      <c r="R357" s="63"/>
      <c r="S357" s="63"/>
      <c r="T357" s="64">
        <v>464348.46217800002</v>
      </c>
      <c r="U357" s="205"/>
    </row>
    <row r="358" spans="1:22" x14ac:dyDescent="0.25">
      <c r="A358" s="193">
        <f t="shared" si="36"/>
        <v>339</v>
      </c>
      <c r="B358" s="107">
        <f t="shared" si="37"/>
        <v>151</v>
      </c>
      <c r="C358" s="53" t="s">
        <v>423</v>
      </c>
      <c r="D358" s="107" t="s">
        <v>424</v>
      </c>
      <c r="E358" s="62">
        <f t="shared" ref="E358:E389" si="38">SUBTOTAL(9, F358:T358)</f>
        <v>2760745.886810293</v>
      </c>
      <c r="F358" s="63"/>
      <c r="G358" s="63">
        <v>751912.8</v>
      </c>
      <c r="H358" s="63">
        <v>1650658.8</v>
      </c>
      <c r="I358" s="63"/>
      <c r="J358" s="63">
        <v>0</v>
      </c>
      <c r="K358" s="63"/>
      <c r="L358" s="63"/>
      <c r="M358" s="63"/>
      <c r="N358" s="63"/>
      <c r="O358" s="63"/>
      <c r="P358" s="63"/>
      <c r="Q358" s="63"/>
      <c r="R358" s="63">
        <v>196427.58</v>
      </c>
      <c r="S358" s="63">
        <v>5000</v>
      </c>
      <c r="T358" s="64">
        <v>156746.70681029299</v>
      </c>
      <c r="U358" s="205"/>
    </row>
    <row r="359" spans="1:22" x14ac:dyDescent="0.25">
      <c r="A359" s="193">
        <f t="shared" si="36"/>
        <v>340</v>
      </c>
      <c r="B359" s="107">
        <f t="shared" si="37"/>
        <v>152</v>
      </c>
      <c r="C359" s="53" t="s">
        <v>423</v>
      </c>
      <c r="D359" s="107" t="s">
        <v>426</v>
      </c>
      <c r="E359" s="62">
        <f t="shared" si="38"/>
        <v>6978123.3703086358</v>
      </c>
      <c r="F359" s="63">
        <v>3671016.16</v>
      </c>
      <c r="G359" s="63">
        <v>553302</v>
      </c>
      <c r="H359" s="63">
        <v>1993290</v>
      </c>
      <c r="I359" s="63"/>
      <c r="J359" s="63"/>
      <c r="K359" s="63"/>
      <c r="L359" s="63"/>
      <c r="M359" s="63"/>
      <c r="N359" s="63"/>
      <c r="O359" s="63"/>
      <c r="P359" s="63"/>
      <c r="Q359" s="63"/>
      <c r="R359" s="63">
        <v>390656.06</v>
      </c>
      <c r="S359" s="63">
        <v>7500</v>
      </c>
      <c r="T359" s="64">
        <v>362359.15030863602</v>
      </c>
      <c r="U359" s="205"/>
    </row>
    <row r="360" spans="1:22" x14ac:dyDescent="0.25">
      <c r="A360" s="193">
        <f t="shared" si="36"/>
        <v>341</v>
      </c>
      <c r="B360" s="107">
        <f t="shared" si="37"/>
        <v>153</v>
      </c>
      <c r="C360" s="53" t="s">
        <v>423</v>
      </c>
      <c r="D360" s="107" t="s">
        <v>427</v>
      </c>
      <c r="E360" s="62">
        <f t="shared" si="38"/>
        <v>17870713.233148023</v>
      </c>
      <c r="F360" s="63">
        <v>4837764.1900000004</v>
      </c>
      <c r="G360" s="63">
        <v>1918622.4</v>
      </c>
      <c r="H360" s="63">
        <v>1933540.8</v>
      </c>
      <c r="I360" s="63"/>
      <c r="J360" s="63"/>
      <c r="K360" s="63"/>
      <c r="L360" s="63"/>
      <c r="M360" s="63"/>
      <c r="N360" s="63"/>
      <c r="O360" s="63"/>
      <c r="P360" s="63"/>
      <c r="Q360" s="63">
        <v>8046351.5999999996</v>
      </c>
      <c r="R360" s="63">
        <v>582041.76</v>
      </c>
      <c r="S360" s="63">
        <v>10000</v>
      </c>
      <c r="T360" s="64">
        <v>542392.48314802302</v>
      </c>
      <c r="U360" s="205"/>
    </row>
    <row r="361" spans="1:22" x14ac:dyDescent="0.25">
      <c r="A361" s="193">
        <f t="shared" si="36"/>
        <v>342</v>
      </c>
      <c r="B361" s="107">
        <f t="shared" si="37"/>
        <v>154</v>
      </c>
      <c r="C361" s="53" t="s">
        <v>423</v>
      </c>
      <c r="D361" s="107" t="s">
        <v>428</v>
      </c>
      <c r="E361" s="62">
        <f t="shared" si="38"/>
        <v>19601059.130617984</v>
      </c>
      <c r="F361" s="63">
        <v>3853039.2</v>
      </c>
      <c r="G361" s="63">
        <v>1198699.2</v>
      </c>
      <c r="H361" s="63">
        <v>1829712</v>
      </c>
      <c r="I361" s="63"/>
      <c r="J361" s="63"/>
      <c r="K361" s="63"/>
      <c r="L361" s="63"/>
      <c r="M361" s="63"/>
      <c r="N361" s="63"/>
      <c r="O361" s="63"/>
      <c r="P361" s="63"/>
      <c r="Q361" s="63">
        <v>11256530.4</v>
      </c>
      <c r="R361" s="63">
        <v>751240.16</v>
      </c>
      <c r="S361" s="63">
        <v>9600</v>
      </c>
      <c r="T361" s="64">
        <v>702238.170617981</v>
      </c>
      <c r="U361" s="205"/>
    </row>
    <row r="362" spans="1:22" x14ac:dyDescent="0.25">
      <c r="A362" s="193">
        <f t="shared" si="36"/>
        <v>343</v>
      </c>
      <c r="B362" s="107">
        <f t="shared" si="37"/>
        <v>155</v>
      </c>
      <c r="C362" s="53" t="s">
        <v>423</v>
      </c>
      <c r="D362" s="107" t="s">
        <v>430</v>
      </c>
      <c r="E362" s="62">
        <f t="shared" si="38"/>
        <v>8386626.5673009409</v>
      </c>
      <c r="F362" s="63"/>
      <c r="G362" s="63"/>
      <c r="H362" s="63"/>
      <c r="I362" s="63"/>
      <c r="J362" s="63"/>
      <c r="K362" s="63"/>
      <c r="L362" s="63"/>
      <c r="M362" s="63"/>
      <c r="N362" s="63">
        <v>7901132.4000000004</v>
      </c>
      <c r="O362" s="63"/>
      <c r="P362" s="63"/>
      <c r="Q362" s="63"/>
      <c r="R362" s="63">
        <v>231619.76</v>
      </c>
      <c r="S362" s="63">
        <v>8000</v>
      </c>
      <c r="T362" s="64">
        <v>245874.40730094101</v>
      </c>
      <c r="U362" s="205"/>
    </row>
    <row r="363" spans="1:22" x14ac:dyDescent="0.25">
      <c r="A363" s="193">
        <f t="shared" si="36"/>
        <v>344</v>
      </c>
      <c r="B363" s="107">
        <f t="shared" si="37"/>
        <v>156</v>
      </c>
      <c r="C363" s="53" t="s">
        <v>423</v>
      </c>
      <c r="D363" s="107" t="s">
        <v>432</v>
      </c>
      <c r="E363" s="62">
        <f t="shared" si="38"/>
        <v>25603344.121522479</v>
      </c>
      <c r="F363" s="63">
        <v>2354587.2000000002</v>
      </c>
      <c r="G363" s="63">
        <v>1865384.4</v>
      </c>
      <c r="H363" s="63">
        <v>2468315.46</v>
      </c>
      <c r="I363" s="63"/>
      <c r="J363" s="63"/>
      <c r="K363" s="63"/>
      <c r="L363" s="63"/>
      <c r="M363" s="63"/>
      <c r="N363" s="63">
        <v>6202495.2000000002</v>
      </c>
      <c r="O363" s="63"/>
      <c r="P363" s="63">
        <v>11009160.289999999</v>
      </c>
      <c r="Q363" s="63"/>
      <c r="R363" s="63">
        <v>1007016.71</v>
      </c>
      <c r="S363" s="63">
        <v>10000</v>
      </c>
      <c r="T363" s="64">
        <v>686384.86152248003</v>
      </c>
      <c r="U363" s="205"/>
    </row>
    <row r="364" spans="1:22" x14ac:dyDescent="0.25">
      <c r="A364" s="193">
        <f t="shared" si="36"/>
        <v>345</v>
      </c>
      <c r="B364" s="107">
        <f t="shared" si="37"/>
        <v>157</v>
      </c>
      <c r="C364" s="53" t="s">
        <v>775</v>
      </c>
      <c r="D364" s="107" t="s">
        <v>434</v>
      </c>
      <c r="E364" s="110">
        <f t="shared" si="38"/>
        <v>7924604.6558726765</v>
      </c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>
        <v>7460881.2000000002</v>
      </c>
      <c r="R364" s="63">
        <v>265042.31</v>
      </c>
      <c r="S364" s="63">
        <v>24000</v>
      </c>
      <c r="T364" s="64">
        <v>174681.14587267701</v>
      </c>
      <c r="U364" s="205"/>
    </row>
    <row r="365" spans="1:22" x14ac:dyDescent="0.25">
      <c r="A365" s="193">
        <f t="shared" si="36"/>
        <v>346</v>
      </c>
      <c r="B365" s="107">
        <f t="shared" si="37"/>
        <v>158</v>
      </c>
      <c r="C365" s="53" t="s">
        <v>775</v>
      </c>
      <c r="D365" s="107" t="s">
        <v>435</v>
      </c>
      <c r="E365" s="110">
        <f t="shared" si="38"/>
        <v>6189810.7041313695</v>
      </c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>
        <v>5755369.2000000002</v>
      </c>
      <c r="R365" s="63">
        <v>255390.65</v>
      </c>
      <c r="S365" s="63">
        <v>24000</v>
      </c>
      <c r="T365" s="64">
        <v>155050.85413136901</v>
      </c>
      <c r="U365" s="205"/>
    </row>
    <row r="366" spans="1:22" x14ac:dyDescent="0.25">
      <c r="A366" s="193">
        <f t="shared" si="36"/>
        <v>347</v>
      </c>
      <c r="B366" s="107">
        <f t="shared" si="37"/>
        <v>159</v>
      </c>
      <c r="C366" s="53" t="s">
        <v>256</v>
      </c>
      <c r="D366" s="107" t="s">
        <v>436</v>
      </c>
      <c r="E366" s="62">
        <f t="shared" si="38"/>
        <v>8867525.1636668164</v>
      </c>
      <c r="F366" s="63"/>
      <c r="G366" s="63"/>
      <c r="H366" s="63">
        <v>1019979.61</v>
      </c>
      <c r="I366" s="63"/>
      <c r="J366" s="63">
        <v>0</v>
      </c>
      <c r="K366" s="63"/>
      <c r="L366" s="63"/>
      <c r="M366" s="63">
        <v>0</v>
      </c>
      <c r="N366" s="63">
        <v>6953406.8499999996</v>
      </c>
      <c r="O366" s="63">
        <v>0</v>
      </c>
      <c r="P366" s="63">
        <v>0</v>
      </c>
      <c r="Q366" s="63">
        <v>0</v>
      </c>
      <c r="R366" s="63">
        <v>200943.02</v>
      </c>
      <c r="S366" s="63">
        <v>29842</v>
      </c>
      <c r="T366" s="64">
        <v>663353.68366681703</v>
      </c>
      <c r="U366" s="205"/>
    </row>
    <row r="367" spans="1:22" x14ac:dyDescent="0.25">
      <c r="A367" s="193">
        <f t="shared" si="36"/>
        <v>348</v>
      </c>
      <c r="B367" s="107">
        <f t="shared" si="37"/>
        <v>160</v>
      </c>
      <c r="C367" s="53" t="s">
        <v>437</v>
      </c>
      <c r="D367" s="53" t="s">
        <v>438</v>
      </c>
      <c r="E367" s="110">
        <f t="shared" si="38"/>
        <v>2647089.074138049</v>
      </c>
      <c r="F367" s="63"/>
      <c r="G367" s="63">
        <v>0</v>
      </c>
      <c r="H367" s="63"/>
      <c r="I367" s="63"/>
      <c r="J367" s="63">
        <v>0</v>
      </c>
      <c r="K367" s="63"/>
      <c r="L367" s="63"/>
      <c r="M367" s="63">
        <v>0</v>
      </c>
      <c r="N367" s="63">
        <v>2212764.58</v>
      </c>
      <c r="O367" s="63">
        <v>0</v>
      </c>
      <c r="P367" s="63"/>
      <c r="Q367" s="63"/>
      <c r="R367" s="63"/>
      <c r="S367" s="63"/>
      <c r="T367" s="64">
        <v>434324.49413804902</v>
      </c>
      <c r="U367" s="205"/>
    </row>
    <row r="368" spans="1:22" x14ac:dyDescent="0.25">
      <c r="A368" s="193">
        <f t="shared" si="36"/>
        <v>349</v>
      </c>
      <c r="B368" s="107">
        <f t="shared" si="37"/>
        <v>161</v>
      </c>
      <c r="C368" s="53" t="s">
        <v>276</v>
      </c>
      <c r="D368" s="107" t="s">
        <v>440</v>
      </c>
      <c r="E368" s="110">
        <f t="shared" si="38"/>
        <v>2936346.0905683646</v>
      </c>
      <c r="F368" s="63">
        <v>0</v>
      </c>
      <c r="G368" s="63">
        <v>0</v>
      </c>
      <c r="H368" s="63"/>
      <c r="I368" s="63"/>
      <c r="J368" s="63"/>
      <c r="K368" s="63"/>
      <c r="L368" s="63"/>
      <c r="M368" s="63">
        <v>0</v>
      </c>
      <c r="N368" s="63">
        <v>0</v>
      </c>
      <c r="O368" s="63">
        <v>0</v>
      </c>
      <c r="P368" s="63">
        <v>0</v>
      </c>
      <c r="Q368" s="63">
        <v>2719951.1</v>
      </c>
      <c r="R368" s="63">
        <v>103749.32</v>
      </c>
      <c r="S368" s="63">
        <v>24000</v>
      </c>
      <c r="T368" s="64">
        <v>88645.670568364701</v>
      </c>
      <c r="U368" s="205"/>
    </row>
    <row r="369" spans="1:80" x14ac:dyDescent="0.25">
      <c r="A369" s="193">
        <f t="shared" ref="A369:A379" si="39">+A368+1</f>
        <v>350</v>
      </c>
      <c r="B369" s="107">
        <f t="shared" ref="B369:B379" si="40">+B368+1</f>
        <v>162</v>
      </c>
      <c r="C369" s="53" t="s">
        <v>276</v>
      </c>
      <c r="D369" s="107" t="s">
        <v>442</v>
      </c>
      <c r="E369" s="110">
        <f t="shared" si="38"/>
        <v>10284847.787494244</v>
      </c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>
        <v>9759955.2699999996</v>
      </c>
      <c r="R369" s="63">
        <v>269194.34000000003</v>
      </c>
      <c r="S369" s="63">
        <v>24000</v>
      </c>
      <c r="T369" s="64">
        <v>231698.17749424401</v>
      </c>
      <c r="U369" s="205"/>
    </row>
    <row r="370" spans="1:80" x14ac:dyDescent="0.25">
      <c r="A370" s="193">
        <f t="shared" si="39"/>
        <v>351</v>
      </c>
      <c r="B370" s="107">
        <f t="shared" si="40"/>
        <v>163</v>
      </c>
      <c r="C370" s="53" t="s">
        <v>276</v>
      </c>
      <c r="D370" s="107" t="s">
        <v>443</v>
      </c>
      <c r="E370" s="62">
        <f t="shared" si="38"/>
        <v>1634270.6037864399</v>
      </c>
      <c r="F370" s="63">
        <v>0</v>
      </c>
      <c r="G370" s="63">
        <v>0</v>
      </c>
      <c r="H370" s="63">
        <v>0</v>
      </c>
      <c r="I370" s="63">
        <v>0</v>
      </c>
      <c r="J370" s="63">
        <v>1611028.9</v>
      </c>
      <c r="K370" s="63"/>
      <c r="L370" s="63"/>
      <c r="M370" s="63">
        <v>0</v>
      </c>
      <c r="N370" s="63">
        <v>0</v>
      </c>
      <c r="O370" s="63">
        <v>0</v>
      </c>
      <c r="P370" s="63">
        <v>0</v>
      </c>
      <c r="Q370" s="63">
        <v>0</v>
      </c>
      <c r="R370" s="63"/>
      <c r="S370" s="63"/>
      <c r="T370" s="64">
        <v>23241.703786440001</v>
      </c>
      <c r="U370" s="205"/>
    </row>
    <row r="371" spans="1:80" x14ac:dyDescent="0.25">
      <c r="A371" s="193">
        <f t="shared" si="39"/>
        <v>352</v>
      </c>
      <c r="B371" s="107">
        <f t="shared" si="40"/>
        <v>164</v>
      </c>
      <c r="C371" s="53" t="s">
        <v>276</v>
      </c>
      <c r="D371" s="107" t="s">
        <v>444</v>
      </c>
      <c r="E371" s="62">
        <f t="shared" si="38"/>
        <v>2859873.8556459798</v>
      </c>
      <c r="F371" s="63">
        <v>0</v>
      </c>
      <c r="G371" s="63">
        <v>0</v>
      </c>
      <c r="H371" s="63">
        <v>0</v>
      </c>
      <c r="I371" s="63">
        <v>0</v>
      </c>
      <c r="J371" s="63">
        <v>316916.15000000002</v>
      </c>
      <c r="K371" s="63"/>
      <c r="L371" s="63"/>
      <c r="M371" s="63">
        <v>0</v>
      </c>
      <c r="N371" s="63">
        <v>0</v>
      </c>
      <c r="O371" s="63">
        <v>0</v>
      </c>
      <c r="P371" s="63">
        <v>0</v>
      </c>
      <c r="Q371" s="63">
        <v>2536183.5</v>
      </c>
      <c r="R371" s="63"/>
      <c r="S371" s="63"/>
      <c r="T371" s="64">
        <v>6774.2056459799996</v>
      </c>
      <c r="U371" s="205"/>
    </row>
    <row r="372" spans="1:80" x14ac:dyDescent="0.25">
      <c r="A372" s="193">
        <f t="shared" si="39"/>
        <v>353</v>
      </c>
      <c r="B372" s="107">
        <f t="shared" si="40"/>
        <v>165</v>
      </c>
      <c r="C372" s="53" t="s">
        <v>276</v>
      </c>
      <c r="D372" s="107" t="s">
        <v>445</v>
      </c>
      <c r="E372" s="62">
        <f t="shared" si="38"/>
        <v>2781481.98</v>
      </c>
      <c r="F372" s="63">
        <v>0</v>
      </c>
      <c r="G372" s="63">
        <v>0</v>
      </c>
      <c r="H372" s="63">
        <v>0</v>
      </c>
      <c r="I372" s="63">
        <v>0</v>
      </c>
      <c r="J372" s="63">
        <v>375448.21</v>
      </c>
      <c r="K372" s="63"/>
      <c r="L372" s="63"/>
      <c r="M372" s="63">
        <v>0</v>
      </c>
      <c r="N372" s="63">
        <v>0</v>
      </c>
      <c r="O372" s="63">
        <v>0</v>
      </c>
      <c r="P372" s="63">
        <v>0</v>
      </c>
      <c r="Q372" s="63">
        <v>2403415.69</v>
      </c>
      <c r="R372" s="63"/>
      <c r="S372" s="63"/>
      <c r="T372" s="64">
        <v>2618.08</v>
      </c>
      <c r="U372" s="205"/>
    </row>
    <row r="373" spans="1:80" x14ac:dyDescent="0.25">
      <c r="A373" s="193">
        <f t="shared" si="39"/>
        <v>354</v>
      </c>
      <c r="B373" s="107">
        <f t="shared" si="40"/>
        <v>166</v>
      </c>
      <c r="C373" s="53" t="s">
        <v>279</v>
      </c>
      <c r="D373" s="107" t="s">
        <v>446</v>
      </c>
      <c r="E373" s="62">
        <f t="shared" si="38"/>
        <v>1247394.4612871199</v>
      </c>
      <c r="F373" s="63">
        <v>0</v>
      </c>
      <c r="G373" s="63">
        <v>0</v>
      </c>
      <c r="H373" s="63">
        <v>0</v>
      </c>
      <c r="I373" s="63">
        <v>0</v>
      </c>
      <c r="J373" s="63"/>
      <c r="K373" s="63"/>
      <c r="L373" s="63"/>
      <c r="M373" s="63">
        <v>0</v>
      </c>
      <c r="N373" s="63">
        <v>0</v>
      </c>
      <c r="O373" s="63">
        <v>0</v>
      </c>
      <c r="P373" s="63">
        <v>0</v>
      </c>
      <c r="Q373" s="63">
        <v>1097350.6499999999</v>
      </c>
      <c r="R373" s="63"/>
      <c r="S373" s="63"/>
      <c r="T373" s="64">
        <v>150043.81128712001</v>
      </c>
      <c r="U373" s="205"/>
    </row>
    <row r="374" spans="1:80" x14ac:dyDescent="0.25">
      <c r="A374" s="193">
        <f t="shared" si="39"/>
        <v>355</v>
      </c>
      <c r="B374" s="107">
        <f t="shared" si="40"/>
        <v>167</v>
      </c>
      <c r="C374" s="53" t="s">
        <v>279</v>
      </c>
      <c r="D374" s="107" t="s">
        <v>288</v>
      </c>
      <c r="E374" s="62">
        <f t="shared" si="38"/>
        <v>6512366.1313439999</v>
      </c>
      <c r="F374" s="63">
        <v>0</v>
      </c>
      <c r="G374" s="63">
        <v>0</v>
      </c>
      <c r="H374" s="63">
        <v>0</v>
      </c>
      <c r="I374" s="63">
        <v>0</v>
      </c>
      <c r="J374" s="63"/>
      <c r="K374" s="63"/>
      <c r="L374" s="63"/>
      <c r="M374" s="63">
        <v>0</v>
      </c>
      <c r="N374" s="63">
        <v>0</v>
      </c>
      <c r="O374" s="63">
        <v>0</v>
      </c>
      <c r="P374" s="63"/>
      <c r="Q374" s="63">
        <v>6360000</v>
      </c>
      <c r="R374" s="63"/>
      <c r="S374" s="63"/>
      <c r="T374" s="64">
        <v>152366.13134399999</v>
      </c>
      <c r="U374" s="205"/>
    </row>
    <row r="375" spans="1:80" x14ac:dyDescent="0.25">
      <c r="A375" s="193">
        <f t="shared" si="39"/>
        <v>356</v>
      </c>
      <c r="B375" s="107">
        <f t="shared" si="40"/>
        <v>168</v>
      </c>
      <c r="C375" s="53" t="s">
        <v>279</v>
      </c>
      <c r="D375" s="107" t="s">
        <v>286</v>
      </c>
      <c r="E375" s="62">
        <f t="shared" si="38"/>
        <v>549645.73751071992</v>
      </c>
      <c r="F375" s="63"/>
      <c r="G375" s="63"/>
      <c r="H375" s="63"/>
      <c r="I375" s="63"/>
      <c r="J375" s="63">
        <v>530082.84</v>
      </c>
      <c r="K375" s="63"/>
      <c r="L375" s="63"/>
      <c r="M375" s="63">
        <v>0</v>
      </c>
      <c r="N375" s="63">
        <v>0</v>
      </c>
      <c r="O375" s="63">
        <v>0</v>
      </c>
      <c r="P375" s="63">
        <v>0</v>
      </c>
      <c r="Q375" s="63">
        <v>0</v>
      </c>
      <c r="R375" s="63"/>
      <c r="S375" s="63"/>
      <c r="T375" s="64">
        <v>19562.897510719999</v>
      </c>
      <c r="U375" s="205"/>
    </row>
    <row r="376" spans="1:80" x14ac:dyDescent="0.25">
      <c r="A376" s="193">
        <f t="shared" si="39"/>
        <v>357</v>
      </c>
      <c r="B376" s="107">
        <f t="shared" si="40"/>
        <v>169</v>
      </c>
      <c r="C376" s="53" t="s">
        <v>447</v>
      </c>
      <c r="D376" s="107" t="s">
        <v>448</v>
      </c>
      <c r="E376" s="110">
        <f t="shared" si="38"/>
        <v>2160845.9342427691</v>
      </c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>
        <v>1885957.2</v>
      </c>
      <c r="R376" s="63">
        <v>107868.54</v>
      </c>
      <c r="S376" s="63">
        <v>24000</v>
      </c>
      <c r="T376" s="64">
        <v>143020.19424276901</v>
      </c>
      <c r="U376" s="205"/>
    </row>
    <row r="377" spans="1:80" x14ac:dyDescent="0.25">
      <c r="A377" s="193">
        <f t="shared" si="39"/>
        <v>358</v>
      </c>
      <c r="B377" s="107">
        <f t="shared" si="40"/>
        <v>170</v>
      </c>
      <c r="C377" s="53" t="s">
        <v>108</v>
      </c>
      <c r="D377" s="107" t="s">
        <v>450</v>
      </c>
      <c r="E377" s="62">
        <f t="shared" si="38"/>
        <v>19396547.59</v>
      </c>
      <c r="F377" s="63">
        <v>0</v>
      </c>
      <c r="G377" s="63">
        <v>0</v>
      </c>
      <c r="H377" s="63">
        <v>0</v>
      </c>
      <c r="I377" s="63">
        <v>0</v>
      </c>
      <c r="J377" s="63">
        <v>0</v>
      </c>
      <c r="K377" s="63"/>
      <c r="L377" s="63"/>
      <c r="M377" s="63">
        <v>0</v>
      </c>
      <c r="N377" s="63">
        <v>19396547.59</v>
      </c>
      <c r="O377" s="63">
        <v>0</v>
      </c>
      <c r="P377" s="63">
        <v>0</v>
      </c>
      <c r="Q377" s="63">
        <v>0</v>
      </c>
      <c r="R377" s="63"/>
      <c r="S377" s="63"/>
      <c r="T377" s="64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</row>
    <row r="378" spans="1:80" x14ac:dyDescent="0.25">
      <c r="A378" s="193">
        <f t="shared" si="39"/>
        <v>359</v>
      </c>
      <c r="B378" s="107">
        <f t="shared" si="40"/>
        <v>171</v>
      </c>
      <c r="C378" s="53" t="s">
        <v>108</v>
      </c>
      <c r="D378" s="107" t="s">
        <v>452</v>
      </c>
      <c r="E378" s="62">
        <f t="shared" si="38"/>
        <v>27023830.790000003</v>
      </c>
      <c r="F378" s="63">
        <v>0</v>
      </c>
      <c r="G378" s="63">
        <v>0</v>
      </c>
      <c r="H378" s="63">
        <v>0</v>
      </c>
      <c r="I378" s="63">
        <v>0</v>
      </c>
      <c r="J378" s="63">
        <v>0</v>
      </c>
      <c r="K378" s="63"/>
      <c r="L378" s="63"/>
      <c r="M378" s="63">
        <v>0</v>
      </c>
      <c r="N378" s="63">
        <v>2963117.94</v>
      </c>
      <c r="O378" s="63">
        <v>0</v>
      </c>
      <c r="P378" s="63">
        <v>24060712.850000001</v>
      </c>
      <c r="Q378" s="63">
        <v>0</v>
      </c>
      <c r="R378" s="63"/>
      <c r="S378" s="63"/>
      <c r="T378" s="64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</row>
    <row r="379" spans="1:80" x14ac:dyDescent="0.25">
      <c r="A379" s="193">
        <f t="shared" si="39"/>
        <v>360</v>
      </c>
      <c r="B379" s="107">
        <f t="shared" si="40"/>
        <v>172</v>
      </c>
      <c r="C379" s="53" t="s">
        <v>108</v>
      </c>
      <c r="D379" s="107" t="s">
        <v>453</v>
      </c>
      <c r="E379" s="62">
        <f t="shared" si="38"/>
        <v>893135.77</v>
      </c>
      <c r="F379" s="63"/>
      <c r="G379" s="63">
        <v>893135.77</v>
      </c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4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</row>
    <row r="380" spans="1:80" s="150" customFormat="1" x14ac:dyDescent="0.25">
      <c r="A380" s="206"/>
      <c r="B380" s="151"/>
      <c r="C380" s="89"/>
      <c r="D380" s="90" t="s">
        <v>454</v>
      </c>
      <c r="E380" s="92">
        <f t="shared" ref="E380:T380" si="41">SUM(E381:E480)</f>
        <v>815667519.33334064</v>
      </c>
      <c r="F380" s="92">
        <f t="shared" si="41"/>
        <v>144425420.322</v>
      </c>
      <c r="G380" s="92">
        <f t="shared" si="41"/>
        <v>42222260.470000006</v>
      </c>
      <c r="H380" s="92">
        <f t="shared" si="41"/>
        <v>25505444.809999995</v>
      </c>
      <c r="I380" s="92">
        <f t="shared" si="41"/>
        <v>22649169.309999995</v>
      </c>
      <c r="J380" s="92">
        <f t="shared" si="41"/>
        <v>5533470.3100000005</v>
      </c>
      <c r="K380" s="92">
        <f t="shared" si="41"/>
        <v>0</v>
      </c>
      <c r="L380" s="92">
        <f t="shared" si="41"/>
        <v>1515829.2</v>
      </c>
      <c r="M380" s="92">
        <f t="shared" si="41"/>
        <v>16975058.390000001</v>
      </c>
      <c r="N380" s="92">
        <f t="shared" si="41"/>
        <v>49520642.899999999</v>
      </c>
      <c r="O380" s="92">
        <f t="shared" si="41"/>
        <v>20258175.979999997</v>
      </c>
      <c r="P380" s="92">
        <f t="shared" si="41"/>
        <v>363622876.85999995</v>
      </c>
      <c r="Q380" s="92">
        <f t="shared" si="41"/>
        <v>67272553.659999996</v>
      </c>
      <c r="R380" s="92">
        <f t="shared" si="41"/>
        <v>6903550.9899999984</v>
      </c>
      <c r="S380" s="92">
        <f t="shared" si="41"/>
        <v>602514.6</v>
      </c>
      <c r="T380" s="92">
        <f t="shared" si="41"/>
        <v>48660551.531340718</v>
      </c>
      <c r="U380" s="207"/>
      <c r="V380" s="95"/>
      <c r="W380" s="153"/>
      <c r="AA380" s="154"/>
      <c r="AD380" s="154"/>
      <c r="AP380" s="155"/>
      <c r="AQ380" s="156"/>
      <c r="AR380" s="157"/>
      <c r="AS380" s="157"/>
      <c r="AT380" s="158"/>
      <c r="AU380" s="158"/>
      <c r="AV380" s="158"/>
      <c r="AW380" s="159"/>
      <c r="AX380" s="160"/>
      <c r="AY380" s="160"/>
      <c r="AZ380" s="160"/>
      <c r="BA380" s="160"/>
      <c r="BB380" s="160"/>
      <c r="BC380" s="160"/>
      <c r="BD380" s="160"/>
      <c r="BE380" s="160"/>
      <c r="BF380" s="160"/>
      <c r="BG380" s="160"/>
      <c r="BH380" s="160"/>
      <c r="BI380" s="160"/>
      <c r="BJ380" s="160"/>
      <c r="BK380" s="95"/>
      <c r="BL380" s="161"/>
      <c r="BM380" s="159"/>
      <c r="BN380" s="160"/>
      <c r="BO380" s="160"/>
      <c r="BP380" s="160"/>
      <c r="BQ380" s="160"/>
      <c r="BR380" s="160"/>
      <c r="BS380" s="160"/>
      <c r="BT380" s="160"/>
      <c r="BU380" s="160"/>
      <c r="BV380" s="160"/>
      <c r="BW380" s="160"/>
      <c r="BX380" s="160"/>
      <c r="BY380" s="160"/>
      <c r="BZ380" s="160"/>
      <c r="CA380" s="95"/>
      <c r="CB380" s="161"/>
    </row>
    <row r="381" spans="1:80" x14ac:dyDescent="0.25">
      <c r="A381" s="193">
        <v>361</v>
      </c>
      <c r="B381" s="107" t="s">
        <v>455</v>
      </c>
      <c r="C381" s="53" t="s">
        <v>62</v>
      </c>
      <c r="D381" s="107" t="s">
        <v>63</v>
      </c>
      <c r="E381" s="62">
        <f t="shared" ref="E381:E412" si="42">SUBTOTAL(9, F381:T381)</f>
        <v>25989519.583614197</v>
      </c>
      <c r="F381" s="63"/>
      <c r="G381" s="63"/>
      <c r="H381" s="63"/>
      <c r="I381" s="63">
        <v>0</v>
      </c>
      <c r="J381" s="63">
        <v>0</v>
      </c>
      <c r="K381" s="63"/>
      <c r="L381" s="63">
        <v>0</v>
      </c>
      <c r="M381" s="63">
        <v>0</v>
      </c>
      <c r="N381" s="63">
        <v>0</v>
      </c>
      <c r="O381" s="63">
        <v>0</v>
      </c>
      <c r="P381" s="63">
        <v>24877323.600000001</v>
      </c>
      <c r="Q381" s="63"/>
      <c r="R381" s="63">
        <v>451063.85</v>
      </c>
      <c r="S381" s="63">
        <v>12000</v>
      </c>
      <c r="T381" s="64">
        <v>649132.133614194</v>
      </c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</row>
    <row r="382" spans="1:80" x14ac:dyDescent="0.25">
      <c r="A382" s="193">
        <f t="shared" ref="A382:A413" si="43">+A381+1</f>
        <v>362</v>
      </c>
      <c r="B382" s="107">
        <v>173</v>
      </c>
      <c r="C382" s="53" t="s">
        <v>71</v>
      </c>
      <c r="D382" s="107" t="s">
        <v>456</v>
      </c>
      <c r="E382" s="110">
        <f t="shared" si="42"/>
        <v>2603243.4318963378</v>
      </c>
      <c r="F382" s="63"/>
      <c r="G382" s="63"/>
      <c r="H382" s="63">
        <v>2070922.4</v>
      </c>
      <c r="I382" s="63"/>
      <c r="J382" s="63">
        <v>0</v>
      </c>
      <c r="K382" s="63"/>
      <c r="L382" s="63"/>
      <c r="M382" s="63">
        <v>0</v>
      </c>
      <c r="N382" s="63">
        <v>0</v>
      </c>
      <c r="O382" s="63">
        <v>0</v>
      </c>
      <c r="P382" s="63">
        <v>0</v>
      </c>
      <c r="Q382" s="63">
        <v>0</v>
      </c>
      <c r="R382" s="63"/>
      <c r="S382" s="63"/>
      <c r="T382" s="64">
        <v>532321.03189633798</v>
      </c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</row>
    <row r="383" spans="1:80" x14ac:dyDescent="0.25">
      <c r="A383" s="193">
        <f t="shared" si="43"/>
        <v>363</v>
      </c>
      <c r="B383" s="107">
        <f t="shared" ref="B383:B397" si="44">+B382+1</f>
        <v>174</v>
      </c>
      <c r="C383" s="53" t="s">
        <v>71</v>
      </c>
      <c r="D383" s="107" t="s">
        <v>72</v>
      </c>
      <c r="E383" s="110">
        <f t="shared" si="42"/>
        <v>707357.13259306794</v>
      </c>
      <c r="F383" s="63">
        <v>0</v>
      </c>
      <c r="G383" s="63">
        <v>0</v>
      </c>
      <c r="H383" s="63">
        <v>681874</v>
      </c>
      <c r="I383" s="63"/>
      <c r="J383" s="63">
        <v>0</v>
      </c>
      <c r="K383" s="63"/>
      <c r="L383" s="63"/>
      <c r="M383" s="63">
        <v>0</v>
      </c>
      <c r="N383" s="63">
        <v>0</v>
      </c>
      <c r="O383" s="63">
        <v>0</v>
      </c>
      <c r="P383" s="63">
        <v>0</v>
      </c>
      <c r="Q383" s="63">
        <v>0</v>
      </c>
      <c r="R383" s="63"/>
      <c r="S383" s="63"/>
      <c r="T383" s="64">
        <v>25483.132593068</v>
      </c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</row>
    <row r="384" spans="1:80" x14ac:dyDescent="0.25">
      <c r="A384" s="193">
        <f t="shared" si="43"/>
        <v>364</v>
      </c>
      <c r="B384" s="107">
        <f t="shared" si="44"/>
        <v>175</v>
      </c>
      <c r="C384" s="53" t="s">
        <v>71</v>
      </c>
      <c r="D384" s="107" t="s">
        <v>457</v>
      </c>
      <c r="E384" s="110">
        <f t="shared" si="42"/>
        <v>7232824.4165202314</v>
      </c>
      <c r="G384" s="63">
        <v>4606470.12</v>
      </c>
      <c r="H384" s="63"/>
      <c r="I384" s="63">
        <v>2236444.67</v>
      </c>
      <c r="J384" s="63">
        <v>0</v>
      </c>
      <c r="K384" s="63"/>
      <c r="L384" s="63"/>
      <c r="M384" s="63">
        <v>0</v>
      </c>
      <c r="N384" s="63">
        <v>0</v>
      </c>
      <c r="O384" s="63">
        <v>0</v>
      </c>
      <c r="P384" s="63">
        <v>0</v>
      </c>
      <c r="Q384" s="63">
        <v>0</v>
      </c>
      <c r="R384" s="63"/>
      <c r="S384" s="63"/>
      <c r="T384" s="64">
        <v>389909.62652023102</v>
      </c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</row>
    <row r="385" spans="1:70" x14ac:dyDescent="0.25">
      <c r="A385" s="193">
        <f t="shared" si="43"/>
        <v>365</v>
      </c>
      <c r="B385" s="107">
        <f t="shared" si="44"/>
        <v>176</v>
      </c>
      <c r="C385" s="53" t="s">
        <v>75</v>
      </c>
      <c r="D385" s="53" t="s">
        <v>458</v>
      </c>
      <c r="E385" s="62">
        <f t="shared" si="42"/>
        <v>7115592.340537915</v>
      </c>
      <c r="F385" s="55">
        <v>6359997.5800000001</v>
      </c>
      <c r="G385" s="63">
        <v>0</v>
      </c>
      <c r="H385" s="63"/>
      <c r="I385" s="63">
        <v>0</v>
      </c>
      <c r="J385" s="63">
        <v>0</v>
      </c>
      <c r="K385" s="63"/>
      <c r="L385" s="63"/>
      <c r="M385" s="63">
        <v>0</v>
      </c>
      <c r="N385" s="63">
        <v>0</v>
      </c>
      <c r="O385" s="63">
        <v>0</v>
      </c>
      <c r="P385" s="63">
        <v>0</v>
      </c>
      <c r="Q385" s="63">
        <v>0</v>
      </c>
      <c r="R385" s="63"/>
      <c r="S385" s="63"/>
      <c r="T385" s="64">
        <v>755594.76053791505</v>
      </c>
      <c r="U385" s="205"/>
    </row>
    <row r="386" spans="1:70" x14ac:dyDescent="0.25">
      <c r="A386" s="193">
        <f t="shared" si="43"/>
        <v>366</v>
      </c>
      <c r="B386" s="107">
        <f t="shared" si="44"/>
        <v>177</v>
      </c>
      <c r="C386" s="53" t="s">
        <v>75</v>
      </c>
      <c r="D386" s="107" t="s">
        <v>459</v>
      </c>
      <c r="E386" s="110">
        <f t="shared" si="42"/>
        <v>17968962.835461721</v>
      </c>
      <c r="F386" s="63">
        <v>0</v>
      </c>
      <c r="G386" s="63">
        <v>0</v>
      </c>
      <c r="H386" s="63">
        <v>0</v>
      </c>
      <c r="I386" s="63">
        <v>0</v>
      </c>
      <c r="J386" s="63">
        <v>0</v>
      </c>
      <c r="K386" s="63"/>
      <c r="L386" s="63"/>
      <c r="M386" s="63">
        <v>0</v>
      </c>
      <c r="N386" s="63">
        <v>0</v>
      </c>
      <c r="O386" s="63">
        <v>17619090.899999999</v>
      </c>
      <c r="P386" s="63">
        <v>0</v>
      </c>
      <c r="Q386" s="63">
        <v>0</v>
      </c>
      <c r="R386" s="63"/>
      <c r="S386" s="63"/>
      <c r="T386" s="64">
        <v>349871.93546172098</v>
      </c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</row>
    <row r="387" spans="1:70" x14ac:dyDescent="0.25">
      <c r="A387" s="193">
        <f t="shared" si="43"/>
        <v>367</v>
      </c>
      <c r="B387" s="107">
        <f t="shared" si="44"/>
        <v>178</v>
      </c>
      <c r="C387" s="53" t="s">
        <v>75</v>
      </c>
      <c r="D387" s="107" t="s">
        <v>460</v>
      </c>
      <c r="E387" s="110">
        <f t="shared" si="42"/>
        <v>3845199.4959070552</v>
      </c>
      <c r="F387" s="63"/>
      <c r="G387" s="63">
        <v>0</v>
      </c>
      <c r="H387" s="63">
        <v>0</v>
      </c>
      <c r="I387" s="63">
        <v>0</v>
      </c>
      <c r="J387" s="63">
        <v>0</v>
      </c>
      <c r="K387" s="63"/>
      <c r="L387" s="63"/>
      <c r="M387" s="63">
        <v>0</v>
      </c>
      <c r="N387" s="63">
        <v>0</v>
      </c>
      <c r="O387" s="63">
        <v>0</v>
      </c>
      <c r="P387" s="63">
        <v>3507510.73</v>
      </c>
      <c r="Q387" s="63">
        <v>0</v>
      </c>
      <c r="R387" s="63"/>
      <c r="S387" s="63"/>
      <c r="T387" s="64">
        <v>337688.765907055</v>
      </c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</row>
    <row r="388" spans="1:70" x14ac:dyDescent="0.25">
      <c r="A388" s="193">
        <f t="shared" si="43"/>
        <v>368</v>
      </c>
      <c r="B388" s="107">
        <f t="shared" si="44"/>
        <v>179</v>
      </c>
      <c r="C388" s="53" t="s">
        <v>75</v>
      </c>
      <c r="D388" s="107" t="s">
        <v>87</v>
      </c>
      <c r="E388" s="62">
        <f t="shared" si="42"/>
        <v>1471321.1842184621</v>
      </c>
      <c r="F388" s="63"/>
      <c r="G388" s="63"/>
      <c r="H388" s="63">
        <v>938135.1</v>
      </c>
      <c r="I388" s="63"/>
      <c r="J388" s="63">
        <v>0</v>
      </c>
      <c r="K388" s="63"/>
      <c r="L388" s="63"/>
      <c r="M388" s="63">
        <v>0</v>
      </c>
      <c r="N388" s="63">
        <v>0</v>
      </c>
      <c r="O388" s="63"/>
      <c r="P388" s="63">
        <v>0</v>
      </c>
      <c r="Q388" s="63">
        <v>0</v>
      </c>
      <c r="R388" s="63"/>
      <c r="S388" s="63"/>
      <c r="T388" s="64">
        <v>533186.084218462</v>
      </c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</row>
    <row r="389" spans="1:70" x14ac:dyDescent="0.25">
      <c r="A389" s="193">
        <f t="shared" si="43"/>
        <v>369</v>
      </c>
      <c r="B389" s="107">
        <f t="shared" si="44"/>
        <v>180</v>
      </c>
      <c r="C389" s="53" t="s">
        <v>75</v>
      </c>
      <c r="D389" s="107" t="s">
        <v>461</v>
      </c>
      <c r="E389" s="110">
        <f t="shared" si="42"/>
        <v>4236618.2387708593</v>
      </c>
      <c r="F389" s="63">
        <v>3743326.59</v>
      </c>
      <c r="G389" s="63"/>
      <c r="H389" s="63">
        <v>0</v>
      </c>
      <c r="I389" s="63"/>
      <c r="J389" s="63">
        <v>0</v>
      </c>
      <c r="K389" s="63"/>
      <c r="L389" s="63"/>
      <c r="M389" s="63">
        <v>0</v>
      </c>
      <c r="N389" s="63">
        <v>0</v>
      </c>
      <c r="O389" s="63">
        <v>0</v>
      </c>
      <c r="P389" s="63">
        <v>0</v>
      </c>
      <c r="Q389" s="63">
        <v>0</v>
      </c>
      <c r="R389" s="63"/>
      <c r="S389" s="63"/>
      <c r="T389" s="64">
        <v>493291.648770859</v>
      </c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</row>
    <row r="390" spans="1:70" x14ac:dyDescent="0.25">
      <c r="A390" s="193">
        <f t="shared" si="43"/>
        <v>370</v>
      </c>
      <c r="B390" s="107">
        <f t="shared" si="44"/>
        <v>181</v>
      </c>
      <c r="C390" s="53" t="s">
        <v>75</v>
      </c>
      <c r="D390" s="107" t="s">
        <v>462</v>
      </c>
      <c r="E390" s="110">
        <f t="shared" si="42"/>
        <v>14159244.434273491</v>
      </c>
      <c r="F390" s="63">
        <v>0</v>
      </c>
      <c r="G390" s="63">
        <v>0</v>
      </c>
      <c r="H390" s="63">
        <v>0</v>
      </c>
      <c r="I390" s="63">
        <v>0</v>
      </c>
      <c r="J390" s="63">
        <v>0</v>
      </c>
      <c r="K390" s="63"/>
      <c r="L390" s="63"/>
      <c r="M390" s="63">
        <v>0</v>
      </c>
      <c r="N390" s="63">
        <v>0</v>
      </c>
      <c r="O390" s="63">
        <v>0</v>
      </c>
      <c r="P390" s="63">
        <v>13745702.449999999</v>
      </c>
      <c r="Q390" s="63">
        <v>0</v>
      </c>
      <c r="R390" s="63"/>
      <c r="S390" s="63"/>
      <c r="T390" s="64">
        <v>413541.98427349201</v>
      </c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</row>
    <row r="391" spans="1:70" ht="12.75" customHeight="1" x14ac:dyDescent="0.25">
      <c r="A391" s="193">
        <f t="shared" si="43"/>
        <v>371</v>
      </c>
      <c r="B391" s="107">
        <f t="shared" si="44"/>
        <v>182</v>
      </c>
      <c r="C391" s="53" t="s">
        <v>75</v>
      </c>
      <c r="D391" s="107" t="s">
        <v>463</v>
      </c>
      <c r="E391" s="62">
        <f t="shared" si="42"/>
        <v>2434130.3775248658</v>
      </c>
      <c r="F391" s="63">
        <v>2095365.92</v>
      </c>
      <c r="G391" s="63">
        <v>0</v>
      </c>
      <c r="H391" s="63"/>
      <c r="I391" s="63">
        <v>0</v>
      </c>
      <c r="J391" s="63">
        <v>0</v>
      </c>
      <c r="K391" s="63"/>
      <c r="L391" s="63"/>
      <c r="M391" s="63">
        <v>0</v>
      </c>
      <c r="N391" s="63">
        <v>0</v>
      </c>
      <c r="O391" s="63">
        <v>0</v>
      </c>
      <c r="P391" s="63">
        <v>0</v>
      </c>
      <c r="Q391" s="63">
        <v>0</v>
      </c>
      <c r="R391" s="63"/>
      <c r="S391" s="63"/>
      <c r="T391" s="64">
        <v>338764.45752486598</v>
      </c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</row>
    <row r="392" spans="1:70" x14ac:dyDescent="0.25">
      <c r="A392" s="193">
        <f t="shared" si="43"/>
        <v>372</v>
      </c>
      <c r="B392" s="107">
        <f t="shared" si="44"/>
        <v>183</v>
      </c>
      <c r="C392" s="53" t="s">
        <v>75</v>
      </c>
      <c r="D392" s="107" t="s">
        <v>464</v>
      </c>
      <c r="E392" s="110">
        <f t="shared" si="42"/>
        <v>11379828.327965548</v>
      </c>
      <c r="F392" s="63">
        <v>0</v>
      </c>
      <c r="G392" s="63">
        <v>0</v>
      </c>
      <c r="H392" s="63">
        <v>0</v>
      </c>
      <c r="I392" s="63"/>
      <c r="J392" s="63">
        <v>0</v>
      </c>
      <c r="K392" s="63"/>
      <c r="L392" s="63"/>
      <c r="M392" s="63">
        <v>0</v>
      </c>
      <c r="N392" s="63">
        <v>0</v>
      </c>
      <c r="O392" s="63">
        <v>0</v>
      </c>
      <c r="P392" s="63">
        <v>10799889.6</v>
      </c>
      <c r="Q392" s="63">
        <v>0</v>
      </c>
      <c r="R392" s="63"/>
      <c r="S392" s="63"/>
      <c r="T392" s="64">
        <v>579938.72796554898</v>
      </c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</row>
    <row r="393" spans="1:70" x14ac:dyDescent="0.25">
      <c r="A393" s="193">
        <f t="shared" si="43"/>
        <v>373</v>
      </c>
      <c r="B393" s="107">
        <f t="shared" si="44"/>
        <v>184</v>
      </c>
      <c r="C393" s="53" t="s">
        <v>75</v>
      </c>
      <c r="D393" s="53" t="s">
        <v>465</v>
      </c>
      <c r="E393" s="110">
        <f t="shared" si="42"/>
        <v>8024685.8911048444</v>
      </c>
      <c r="F393" s="55">
        <v>7651462.9400000004</v>
      </c>
      <c r="G393" s="63">
        <v>0</v>
      </c>
      <c r="H393" s="63">
        <v>0</v>
      </c>
      <c r="I393" s="63">
        <v>0</v>
      </c>
      <c r="J393" s="63">
        <v>0</v>
      </c>
      <c r="K393" s="63"/>
      <c r="L393" s="63"/>
      <c r="M393" s="63">
        <v>0</v>
      </c>
      <c r="N393" s="63">
        <v>0</v>
      </c>
      <c r="O393" s="63">
        <v>0</v>
      </c>
      <c r="P393" s="63">
        <v>0</v>
      </c>
      <c r="Q393" s="63">
        <v>0</v>
      </c>
      <c r="R393" s="63"/>
      <c r="S393" s="63"/>
      <c r="T393" s="64">
        <v>373222.95110484399</v>
      </c>
      <c r="U393" s="205"/>
    </row>
    <row r="394" spans="1:70" ht="15" customHeight="1" x14ac:dyDescent="0.25">
      <c r="A394" s="193">
        <f t="shared" si="43"/>
        <v>374</v>
      </c>
      <c r="B394" s="107">
        <f t="shared" si="44"/>
        <v>185</v>
      </c>
      <c r="C394" s="53" t="s">
        <v>75</v>
      </c>
      <c r="D394" s="107" t="s">
        <v>466</v>
      </c>
      <c r="E394" s="110">
        <f t="shared" si="42"/>
        <v>18332812.000956472</v>
      </c>
      <c r="F394" s="63">
        <v>0</v>
      </c>
      <c r="G394" s="63">
        <v>0</v>
      </c>
      <c r="H394" s="63">
        <v>0</v>
      </c>
      <c r="I394" s="63">
        <v>0</v>
      </c>
      <c r="J394" s="63">
        <v>0</v>
      </c>
      <c r="K394" s="63"/>
      <c r="L394" s="63"/>
      <c r="M394" s="63">
        <v>0</v>
      </c>
      <c r="N394" s="63">
        <v>0</v>
      </c>
      <c r="O394" s="63">
        <v>0</v>
      </c>
      <c r="P394" s="63">
        <v>17491598.399999999</v>
      </c>
      <c r="Q394" s="63">
        <v>0</v>
      </c>
      <c r="R394" s="63"/>
      <c r="S394" s="63"/>
      <c r="T394" s="64">
        <v>841213.60095647303</v>
      </c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</row>
    <row r="395" spans="1:70" x14ac:dyDescent="0.25">
      <c r="A395" s="193">
        <f t="shared" si="43"/>
        <v>375</v>
      </c>
      <c r="B395" s="107">
        <f t="shared" si="44"/>
        <v>186</v>
      </c>
      <c r="C395" s="53" t="s">
        <v>75</v>
      </c>
      <c r="D395" s="107" t="s">
        <v>467</v>
      </c>
      <c r="E395" s="110">
        <f t="shared" si="42"/>
        <v>2908357.4701546272</v>
      </c>
      <c r="F395" s="63">
        <v>1926147.5</v>
      </c>
      <c r="G395" s="63"/>
      <c r="H395" s="63"/>
      <c r="I395" s="63">
        <v>888374.4</v>
      </c>
      <c r="J395" s="63">
        <v>0</v>
      </c>
      <c r="K395" s="63"/>
      <c r="L395" s="63"/>
      <c r="M395" s="63">
        <v>0</v>
      </c>
      <c r="N395" s="63">
        <v>0</v>
      </c>
      <c r="O395" s="63"/>
      <c r="P395" s="63">
        <v>0</v>
      </c>
      <c r="Q395" s="63">
        <v>0</v>
      </c>
      <c r="R395" s="63"/>
      <c r="S395" s="63"/>
      <c r="T395" s="64">
        <v>93835.570154627305</v>
      </c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</row>
    <row r="396" spans="1:70" x14ac:dyDescent="0.25">
      <c r="A396" s="193">
        <f t="shared" si="43"/>
        <v>376</v>
      </c>
      <c r="B396" s="107">
        <f t="shared" si="44"/>
        <v>187</v>
      </c>
      <c r="C396" s="53" t="s">
        <v>75</v>
      </c>
      <c r="D396" s="107" t="s">
        <v>468</v>
      </c>
      <c r="E396" s="110">
        <f t="shared" si="42"/>
        <v>8091643.8610806279</v>
      </c>
      <c r="F396" s="63">
        <v>0</v>
      </c>
      <c r="G396" s="63">
        <v>0</v>
      </c>
      <c r="H396" s="63">
        <v>0</v>
      </c>
      <c r="I396" s="63">
        <v>0</v>
      </c>
      <c r="J396" s="63">
        <v>0</v>
      </c>
      <c r="K396" s="63"/>
      <c r="L396" s="63"/>
      <c r="M396" s="63">
        <v>0</v>
      </c>
      <c r="N396" s="63">
        <v>7914683.0899999999</v>
      </c>
      <c r="O396" s="63">
        <v>0</v>
      </c>
      <c r="P396" s="63">
        <v>0</v>
      </c>
      <c r="Q396" s="63">
        <v>0</v>
      </c>
      <c r="R396" s="63"/>
      <c r="S396" s="63"/>
      <c r="T396" s="64">
        <v>176960.77108062801</v>
      </c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</row>
    <row r="397" spans="1:70" x14ac:dyDescent="0.25">
      <c r="A397" s="193">
        <f t="shared" si="43"/>
        <v>377</v>
      </c>
      <c r="B397" s="107">
        <f t="shared" si="44"/>
        <v>188</v>
      </c>
      <c r="C397" s="53" t="s">
        <v>75</v>
      </c>
      <c r="D397" s="107" t="s">
        <v>105</v>
      </c>
      <c r="E397" s="62">
        <f t="shared" si="42"/>
        <v>2572394.1991615803</v>
      </c>
      <c r="F397" s="63">
        <v>2391153.64</v>
      </c>
      <c r="G397" s="63"/>
      <c r="H397" s="63">
        <v>0</v>
      </c>
      <c r="I397" s="63">
        <v>0</v>
      </c>
      <c r="J397" s="63">
        <v>0</v>
      </c>
      <c r="K397" s="63"/>
      <c r="L397" s="63"/>
      <c r="M397" s="63"/>
      <c r="N397" s="63"/>
      <c r="O397" s="63"/>
      <c r="P397" s="63"/>
      <c r="Q397" s="63">
        <v>0</v>
      </c>
      <c r="R397" s="63"/>
      <c r="S397" s="63"/>
      <c r="T397" s="64">
        <v>181240.55916157999</v>
      </c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</row>
    <row r="398" spans="1:70" x14ac:dyDescent="0.25">
      <c r="A398" s="193">
        <f t="shared" si="43"/>
        <v>378</v>
      </c>
      <c r="B398" s="107" t="s">
        <v>455</v>
      </c>
      <c r="C398" s="53" t="s">
        <v>75</v>
      </c>
      <c r="D398" s="53" t="s">
        <v>309</v>
      </c>
      <c r="E398" s="110">
        <f t="shared" si="42"/>
        <v>8700895.6415769998</v>
      </c>
      <c r="F398" s="63">
        <v>7614332.9400000004</v>
      </c>
      <c r="G398" s="63">
        <v>0</v>
      </c>
      <c r="H398" s="63">
        <v>0</v>
      </c>
      <c r="I398" s="63"/>
      <c r="J398" s="63">
        <v>0</v>
      </c>
      <c r="K398" s="63"/>
      <c r="L398" s="63"/>
      <c r="M398" s="63">
        <v>0</v>
      </c>
      <c r="N398" s="63"/>
      <c r="O398" s="63"/>
      <c r="P398" s="63">
        <v>0</v>
      </c>
      <c r="Q398" s="63">
        <v>0</v>
      </c>
      <c r="R398" s="63"/>
      <c r="S398" s="63"/>
      <c r="T398" s="64">
        <v>1086562.7015770001</v>
      </c>
      <c r="U398" s="205"/>
    </row>
    <row r="399" spans="1:70" x14ac:dyDescent="0.25">
      <c r="A399" s="193">
        <f t="shared" si="43"/>
        <v>379</v>
      </c>
      <c r="B399" s="107">
        <v>189</v>
      </c>
      <c r="C399" s="53" t="s">
        <v>75</v>
      </c>
      <c r="D399" s="107" t="s">
        <v>469</v>
      </c>
      <c r="E399" s="110">
        <f t="shared" si="42"/>
        <v>22725620.945717093</v>
      </c>
      <c r="F399" s="63">
        <v>0</v>
      </c>
      <c r="G399" s="63">
        <v>0</v>
      </c>
      <c r="H399" s="63">
        <v>0</v>
      </c>
      <c r="I399" s="63">
        <v>0</v>
      </c>
      <c r="J399" s="63">
        <v>0</v>
      </c>
      <c r="K399" s="63"/>
      <c r="L399" s="63"/>
      <c r="M399" s="63">
        <v>0</v>
      </c>
      <c r="N399" s="63">
        <v>0</v>
      </c>
      <c r="O399" s="63">
        <v>0</v>
      </c>
      <c r="P399" s="63">
        <v>21876387</v>
      </c>
      <c r="Q399" s="63">
        <v>0</v>
      </c>
      <c r="R399" s="63"/>
      <c r="S399" s="63"/>
      <c r="T399" s="64">
        <v>849233.94571709202</v>
      </c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</row>
    <row r="400" spans="1:70" x14ac:dyDescent="0.25">
      <c r="A400" s="193">
        <f t="shared" si="43"/>
        <v>380</v>
      </c>
      <c r="B400" s="107" t="s">
        <v>455</v>
      </c>
      <c r="C400" s="53" t="s">
        <v>75</v>
      </c>
      <c r="D400" s="107" t="s">
        <v>316</v>
      </c>
      <c r="E400" s="110">
        <f t="shared" si="42"/>
        <v>2349499.1638008743</v>
      </c>
      <c r="F400" s="63">
        <v>2107839.7400000002</v>
      </c>
      <c r="G400" s="63"/>
      <c r="H400" s="63">
        <v>0</v>
      </c>
      <c r="I400" s="63"/>
      <c r="J400" s="63">
        <v>0</v>
      </c>
      <c r="K400" s="63"/>
      <c r="L400" s="63"/>
      <c r="M400" s="63">
        <v>0</v>
      </c>
      <c r="N400" s="63">
        <v>0</v>
      </c>
      <c r="O400" s="63">
        <v>0</v>
      </c>
      <c r="P400" s="63">
        <v>0</v>
      </c>
      <c r="Q400" s="63">
        <v>0</v>
      </c>
      <c r="R400" s="63"/>
      <c r="S400" s="63"/>
      <c r="T400" s="64">
        <v>241659.42380087401</v>
      </c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</row>
    <row r="401" spans="1:70" x14ac:dyDescent="0.25">
      <c r="A401" s="193">
        <f t="shared" si="43"/>
        <v>381</v>
      </c>
      <c r="B401" s="107">
        <v>190</v>
      </c>
      <c r="C401" s="53" t="s">
        <v>75</v>
      </c>
      <c r="D401" s="53" t="s">
        <v>470</v>
      </c>
      <c r="E401" s="62">
        <f t="shared" si="42"/>
        <v>2367123.6437217328</v>
      </c>
      <c r="F401" s="55"/>
      <c r="G401" s="63">
        <v>0</v>
      </c>
      <c r="H401" s="63">
        <v>1240683.24</v>
      </c>
      <c r="I401" s="63">
        <v>452701.66</v>
      </c>
      <c r="J401" s="63"/>
      <c r="K401" s="63"/>
      <c r="L401" s="63"/>
      <c r="M401" s="63"/>
      <c r="N401" s="63"/>
      <c r="O401" s="63"/>
      <c r="P401" s="63"/>
      <c r="Q401" s="63"/>
      <c r="R401" s="63">
        <v>388211.02</v>
      </c>
      <c r="S401" s="63">
        <v>16000</v>
      </c>
      <c r="T401" s="64">
        <v>269527.72372173303</v>
      </c>
      <c r="U401" s="205"/>
    </row>
    <row r="402" spans="1:70" x14ac:dyDescent="0.25">
      <c r="A402" s="193">
        <f t="shared" si="43"/>
        <v>382</v>
      </c>
      <c r="B402" s="107">
        <f>+B401+1</f>
        <v>191</v>
      </c>
      <c r="C402" s="53" t="s">
        <v>108</v>
      </c>
      <c r="D402" s="107" t="s">
        <v>471</v>
      </c>
      <c r="E402" s="62">
        <f t="shared" si="42"/>
        <v>1744209.1597703199</v>
      </c>
      <c r="F402" s="63">
        <v>0</v>
      </c>
      <c r="G402" s="63">
        <v>0</v>
      </c>
      <c r="H402" s="63">
        <v>1696026.8</v>
      </c>
      <c r="I402" s="63">
        <v>0</v>
      </c>
      <c r="J402" s="63">
        <v>0</v>
      </c>
      <c r="K402" s="63"/>
      <c r="L402" s="63"/>
      <c r="M402" s="63">
        <v>0</v>
      </c>
      <c r="N402" s="63">
        <v>0</v>
      </c>
      <c r="O402" s="63">
        <v>0</v>
      </c>
      <c r="P402" s="63">
        <v>0</v>
      </c>
      <c r="Q402" s="63">
        <v>0</v>
      </c>
      <c r="R402" s="63"/>
      <c r="S402" s="63"/>
      <c r="T402" s="64">
        <v>48182.359770319999</v>
      </c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</row>
    <row r="403" spans="1:70" x14ac:dyDescent="0.25">
      <c r="A403" s="193">
        <f t="shared" si="43"/>
        <v>383</v>
      </c>
      <c r="B403" s="107">
        <f>+B402+1</f>
        <v>192</v>
      </c>
      <c r="C403" s="53" t="s">
        <v>108</v>
      </c>
      <c r="D403" s="107" t="s">
        <v>114</v>
      </c>
      <c r="E403" s="62">
        <f t="shared" si="42"/>
        <v>5792816.6329290001</v>
      </c>
      <c r="F403" s="180"/>
      <c r="G403" s="63">
        <v>2958323.74</v>
      </c>
      <c r="H403" s="63"/>
      <c r="I403" s="63"/>
      <c r="J403" s="63"/>
      <c r="K403" s="63"/>
      <c r="L403" s="63">
        <v>1515829.2</v>
      </c>
      <c r="M403" s="63">
        <v>0</v>
      </c>
      <c r="N403" s="63"/>
      <c r="O403" s="63"/>
      <c r="P403" s="63"/>
      <c r="Q403" s="63"/>
      <c r="R403" s="63"/>
      <c r="S403" s="63"/>
      <c r="T403" s="64">
        <v>1318663.6929289999</v>
      </c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</row>
    <row r="404" spans="1:70" x14ac:dyDescent="0.25">
      <c r="A404" s="193">
        <f t="shared" si="43"/>
        <v>384</v>
      </c>
      <c r="B404" s="107">
        <f>+B403+1</f>
        <v>193</v>
      </c>
      <c r="C404" s="53" t="s">
        <v>108</v>
      </c>
      <c r="D404" s="107" t="s">
        <v>111</v>
      </c>
      <c r="E404" s="62">
        <f t="shared" si="42"/>
        <v>2553932.5821301802</v>
      </c>
      <c r="F404" s="63"/>
      <c r="G404" s="63"/>
      <c r="H404" s="63">
        <v>2457074</v>
      </c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4">
        <v>96858.582130180002</v>
      </c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</row>
    <row r="405" spans="1:70" x14ac:dyDescent="0.25">
      <c r="A405" s="193">
        <f t="shared" si="43"/>
        <v>385</v>
      </c>
      <c r="B405" s="107" t="s">
        <v>455</v>
      </c>
      <c r="C405" s="53" t="s">
        <v>108</v>
      </c>
      <c r="D405" s="107" t="s">
        <v>327</v>
      </c>
      <c r="E405" s="110">
        <f t="shared" si="42"/>
        <v>8333177.4176637996</v>
      </c>
      <c r="F405" s="55">
        <v>8063310.0499999998</v>
      </c>
      <c r="G405" s="63"/>
      <c r="H405" s="63"/>
      <c r="I405" s="63"/>
      <c r="J405" s="63"/>
      <c r="K405" s="63"/>
      <c r="L405" s="63"/>
      <c r="M405" s="63">
        <v>0</v>
      </c>
      <c r="N405" s="63"/>
      <c r="O405" s="63">
        <v>0</v>
      </c>
      <c r="P405" s="63">
        <v>0</v>
      </c>
      <c r="Q405" s="63">
        <v>0</v>
      </c>
      <c r="R405" s="63">
        <v>87085.119999999995</v>
      </c>
      <c r="S405" s="63">
        <v>4800</v>
      </c>
      <c r="T405" s="64">
        <v>177982.24766379999</v>
      </c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</row>
    <row r="406" spans="1:70" x14ac:dyDescent="0.25">
      <c r="A406" s="193">
        <f t="shared" si="43"/>
        <v>386</v>
      </c>
      <c r="B406" s="107">
        <v>194</v>
      </c>
      <c r="C406" s="53" t="s">
        <v>108</v>
      </c>
      <c r="D406" s="107" t="s">
        <v>127</v>
      </c>
      <c r="E406" s="62">
        <f t="shared" si="42"/>
        <v>2957363.0971758128</v>
      </c>
      <c r="F406" s="63">
        <v>2876336.82</v>
      </c>
      <c r="G406" s="63"/>
      <c r="H406" s="63"/>
      <c r="I406" s="63"/>
      <c r="J406" s="63"/>
      <c r="K406" s="63"/>
      <c r="L406" s="63"/>
      <c r="M406" s="63"/>
      <c r="N406" s="63"/>
      <c r="O406" s="63">
        <v>0</v>
      </c>
      <c r="P406" s="63">
        <v>0</v>
      </c>
      <c r="Q406" s="63">
        <v>0</v>
      </c>
      <c r="R406" s="63"/>
      <c r="S406" s="63"/>
      <c r="T406" s="64">
        <v>81026.2771758132</v>
      </c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</row>
    <row r="407" spans="1:70" x14ac:dyDescent="0.25">
      <c r="A407" s="193">
        <f t="shared" si="43"/>
        <v>387</v>
      </c>
      <c r="B407" s="107">
        <v>195</v>
      </c>
      <c r="C407" s="53" t="s">
        <v>108</v>
      </c>
      <c r="D407" s="53" t="s">
        <v>472</v>
      </c>
      <c r="E407" s="110">
        <f t="shared" si="42"/>
        <v>7704713.2688525198</v>
      </c>
      <c r="F407" s="55">
        <v>0</v>
      </c>
      <c r="G407" s="63">
        <v>0</v>
      </c>
      <c r="H407" s="63">
        <v>0</v>
      </c>
      <c r="I407" s="63">
        <v>0</v>
      </c>
      <c r="J407" s="63">
        <v>0</v>
      </c>
      <c r="K407" s="63"/>
      <c r="L407" s="63"/>
      <c r="M407" s="63">
        <v>0</v>
      </c>
      <c r="N407" s="63">
        <v>0</v>
      </c>
      <c r="O407" s="63">
        <v>0</v>
      </c>
      <c r="P407" s="63">
        <v>7597723.9900000002</v>
      </c>
      <c r="Q407" s="63">
        <v>0</v>
      </c>
      <c r="R407" s="63"/>
      <c r="S407" s="63"/>
      <c r="T407" s="64">
        <v>106989.27885252</v>
      </c>
      <c r="U407" s="205"/>
    </row>
    <row r="408" spans="1:70" x14ac:dyDescent="0.25">
      <c r="A408" s="193">
        <f t="shared" si="43"/>
        <v>388</v>
      </c>
      <c r="B408" s="107">
        <f>+B407+1</f>
        <v>196</v>
      </c>
      <c r="C408" s="53" t="s">
        <v>108</v>
      </c>
      <c r="D408" s="107" t="s">
        <v>473</v>
      </c>
      <c r="E408" s="110">
        <f t="shared" si="42"/>
        <v>2377798.0801734999</v>
      </c>
      <c r="F408" s="63">
        <v>0</v>
      </c>
      <c r="G408" s="63"/>
      <c r="H408" s="63">
        <v>2328308.5299999998</v>
      </c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4">
        <v>49489.5501735</v>
      </c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</row>
    <row r="409" spans="1:70" x14ac:dyDescent="0.25">
      <c r="A409" s="193">
        <f t="shared" si="43"/>
        <v>389</v>
      </c>
      <c r="B409" s="107" t="s">
        <v>455</v>
      </c>
      <c r="C409" s="53" t="s">
        <v>108</v>
      </c>
      <c r="D409" s="107" t="s">
        <v>337</v>
      </c>
      <c r="E409" s="110">
        <f t="shared" si="42"/>
        <v>30368838.454633702</v>
      </c>
      <c r="F409" s="63"/>
      <c r="G409" s="63"/>
      <c r="H409" s="63">
        <v>1699976.02</v>
      </c>
      <c r="I409" s="63"/>
      <c r="J409" s="63"/>
      <c r="K409" s="63"/>
      <c r="L409" s="63"/>
      <c r="M409" s="63"/>
      <c r="N409" s="63"/>
      <c r="O409" s="63"/>
      <c r="P409" s="63">
        <v>21539537.780000001</v>
      </c>
      <c r="Q409" s="63">
        <v>5244019.0999999996</v>
      </c>
      <c r="R409" s="63">
        <v>580000.18999999994</v>
      </c>
      <c r="S409" s="63">
        <v>12000</v>
      </c>
      <c r="T409" s="64">
        <v>1293305.3646337001</v>
      </c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</row>
    <row r="410" spans="1:70" x14ac:dyDescent="0.25">
      <c r="A410" s="193">
        <f t="shared" si="43"/>
        <v>390</v>
      </c>
      <c r="B410" s="107">
        <v>197</v>
      </c>
      <c r="C410" s="53" t="s">
        <v>108</v>
      </c>
      <c r="D410" s="107" t="s">
        <v>136</v>
      </c>
      <c r="E410" s="62">
        <f t="shared" si="42"/>
        <v>1298876.9618900002</v>
      </c>
      <c r="F410" s="63">
        <v>0</v>
      </c>
      <c r="G410" s="63">
        <v>0</v>
      </c>
      <c r="H410" s="63">
        <v>0</v>
      </c>
      <c r="I410" s="63">
        <v>0</v>
      </c>
      <c r="J410" s="63">
        <v>1292467.79</v>
      </c>
      <c r="K410" s="63"/>
      <c r="L410" s="63"/>
      <c r="M410" s="63">
        <v>0</v>
      </c>
      <c r="N410" s="63">
        <v>0</v>
      </c>
      <c r="O410" s="63">
        <v>0</v>
      </c>
      <c r="P410" s="63"/>
      <c r="Q410" s="63">
        <v>0</v>
      </c>
      <c r="R410" s="63"/>
      <c r="S410" s="63"/>
      <c r="T410" s="64">
        <v>6409.1718899999996</v>
      </c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</row>
    <row r="411" spans="1:70" x14ac:dyDescent="0.25">
      <c r="A411" s="193">
        <f t="shared" si="43"/>
        <v>391</v>
      </c>
      <c r="B411" s="107" t="s">
        <v>455</v>
      </c>
      <c r="C411" s="53" t="s">
        <v>108</v>
      </c>
      <c r="D411" s="107" t="s">
        <v>344</v>
      </c>
      <c r="E411" s="110">
        <f t="shared" si="42"/>
        <v>13084475.941770999</v>
      </c>
      <c r="F411" s="63">
        <v>6551161.5099999998</v>
      </c>
      <c r="G411" s="63">
        <v>3815348.46</v>
      </c>
      <c r="H411" s="63"/>
      <c r="I411" s="63">
        <v>2106297.9</v>
      </c>
      <c r="J411" s="63"/>
      <c r="K411" s="63"/>
      <c r="L411" s="63"/>
      <c r="M411" s="63">
        <v>0</v>
      </c>
      <c r="N411" s="63">
        <v>0</v>
      </c>
      <c r="O411" s="63">
        <v>0</v>
      </c>
      <c r="P411" s="63">
        <v>0</v>
      </c>
      <c r="Q411" s="63">
        <v>0</v>
      </c>
      <c r="R411" s="63">
        <v>196100.76</v>
      </c>
      <c r="S411" s="63">
        <v>18000</v>
      </c>
      <c r="T411" s="64">
        <v>397567.31177099998</v>
      </c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</row>
    <row r="412" spans="1:70" x14ac:dyDescent="0.25">
      <c r="A412" s="193">
        <f t="shared" si="43"/>
        <v>392</v>
      </c>
      <c r="B412" s="107" t="s">
        <v>455</v>
      </c>
      <c r="C412" s="53" t="s">
        <v>108</v>
      </c>
      <c r="D412" s="107" t="s">
        <v>346</v>
      </c>
      <c r="E412" s="62">
        <f t="shared" si="42"/>
        <v>2335605.1761766598</v>
      </c>
      <c r="F412" s="63">
        <v>0</v>
      </c>
      <c r="G412" s="63"/>
      <c r="H412" s="63"/>
      <c r="I412" s="63"/>
      <c r="J412" s="63">
        <v>1676807.21</v>
      </c>
      <c r="K412" s="63"/>
      <c r="L412" s="63"/>
      <c r="M412" s="63">
        <v>0</v>
      </c>
      <c r="N412" s="63">
        <v>0</v>
      </c>
      <c r="O412" s="63">
        <v>0</v>
      </c>
      <c r="P412" s="63"/>
      <c r="Q412" s="63">
        <v>0</v>
      </c>
      <c r="R412" s="63"/>
      <c r="S412" s="63"/>
      <c r="T412" s="64">
        <f>555416.30026576+103381.6659109</f>
        <v>658797.96617666003</v>
      </c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</row>
    <row r="413" spans="1:70" x14ac:dyDescent="0.25">
      <c r="A413" s="193">
        <f t="shared" si="43"/>
        <v>393</v>
      </c>
      <c r="B413" s="107">
        <v>198</v>
      </c>
      <c r="C413" s="53" t="s">
        <v>108</v>
      </c>
      <c r="D413" s="107" t="s">
        <v>146</v>
      </c>
      <c r="E413" s="110">
        <f t="shared" ref="E413:E444" si="45">SUBTOTAL(9, F413:T413)</f>
        <v>2710702.7447870402</v>
      </c>
      <c r="F413" s="63">
        <v>0</v>
      </c>
      <c r="G413" s="63">
        <v>0</v>
      </c>
      <c r="H413" s="63">
        <v>2612741.62</v>
      </c>
      <c r="I413" s="63">
        <v>0</v>
      </c>
      <c r="J413" s="63">
        <v>0</v>
      </c>
      <c r="K413" s="63"/>
      <c r="L413" s="63"/>
      <c r="M413" s="63">
        <v>0</v>
      </c>
      <c r="N413" s="63"/>
      <c r="O413" s="63"/>
      <c r="P413" s="63"/>
      <c r="Q413" s="63">
        <v>0</v>
      </c>
      <c r="R413" s="63"/>
      <c r="S413" s="63"/>
      <c r="T413" s="64">
        <v>97961.124787039997</v>
      </c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</row>
    <row r="414" spans="1:70" x14ac:dyDescent="0.25">
      <c r="A414" s="193">
        <f t="shared" ref="A414:A433" si="46">+A413+1</f>
        <v>394</v>
      </c>
      <c r="B414" s="107" t="s">
        <v>455</v>
      </c>
      <c r="C414" s="53" t="s">
        <v>108</v>
      </c>
      <c r="D414" s="107" t="s">
        <v>147</v>
      </c>
      <c r="E414" s="62">
        <f t="shared" si="45"/>
        <v>4785657.9753653202</v>
      </c>
      <c r="F414" s="63">
        <v>4647411.2300000004</v>
      </c>
      <c r="G414" s="63"/>
      <c r="H414" s="63"/>
      <c r="I414" s="63"/>
      <c r="J414" s="63"/>
      <c r="K414" s="63"/>
      <c r="L414" s="63"/>
      <c r="M414" s="63"/>
      <c r="N414" s="63"/>
      <c r="O414" s="63">
        <v>0</v>
      </c>
      <c r="P414" s="63">
        <v>0</v>
      </c>
      <c r="Q414" s="63">
        <v>0</v>
      </c>
      <c r="R414" s="63"/>
      <c r="S414" s="63"/>
      <c r="T414" s="64">
        <v>138246.74536532001</v>
      </c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</row>
    <row r="415" spans="1:70" x14ac:dyDescent="0.25">
      <c r="A415" s="193">
        <f t="shared" si="46"/>
        <v>395</v>
      </c>
      <c r="B415" s="107" t="s">
        <v>455</v>
      </c>
      <c r="C415" s="53" t="s">
        <v>108</v>
      </c>
      <c r="D415" s="107" t="s">
        <v>350</v>
      </c>
      <c r="E415" s="62">
        <f t="shared" si="45"/>
        <v>14676460.707950562</v>
      </c>
      <c r="F415" s="63"/>
      <c r="G415" s="63"/>
      <c r="H415" s="63"/>
      <c r="I415" s="63"/>
      <c r="J415" s="63"/>
      <c r="K415" s="63"/>
      <c r="L415" s="63"/>
      <c r="M415" s="63">
        <v>0</v>
      </c>
      <c r="N415" s="63"/>
      <c r="O415" s="63">
        <v>0</v>
      </c>
      <c r="P415" s="63">
        <v>13526268.880000001</v>
      </c>
      <c r="Q415" s="63"/>
      <c r="R415" s="63">
        <v>286758.17</v>
      </c>
      <c r="S415" s="63">
        <v>8000</v>
      </c>
      <c r="T415" s="64">
        <v>855433.65795056196</v>
      </c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</row>
    <row r="416" spans="1:70" x14ac:dyDescent="0.25">
      <c r="A416" s="193">
        <f t="shared" si="46"/>
        <v>396</v>
      </c>
      <c r="B416" s="107" t="s">
        <v>455</v>
      </c>
      <c r="C416" s="53" t="s">
        <v>108</v>
      </c>
      <c r="D416" s="107" t="s">
        <v>351</v>
      </c>
      <c r="E416" s="62">
        <f t="shared" si="45"/>
        <v>11688714.664846923</v>
      </c>
      <c r="F416" s="63"/>
      <c r="G416" s="63"/>
      <c r="H416" s="63"/>
      <c r="I416" s="63"/>
      <c r="J416" s="63"/>
      <c r="K416" s="63"/>
      <c r="L416" s="63"/>
      <c r="M416" s="63">
        <v>0</v>
      </c>
      <c r="N416" s="63"/>
      <c r="O416" s="63">
        <v>0</v>
      </c>
      <c r="P416" s="63">
        <v>10548266.43</v>
      </c>
      <c r="Q416" s="63"/>
      <c r="R416" s="131">
        <v>284186.55</v>
      </c>
      <c r="S416" s="63">
        <v>8000</v>
      </c>
      <c r="T416" s="64">
        <v>848261.68484692299</v>
      </c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</row>
    <row r="417" spans="1:70" x14ac:dyDescent="0.25">
      <c r="A417" s="193">
        <f t="shared" si="46"/>
        <v>397</v>
      </c>
      <c r="B417" s="107" t="s">
        <v>455</v>
      </c>
      <c r="C417" s="53" t="s">
        <v>108</v>
      </c>
      <c r="D417" s="107" t="s">
        <v>353</v>
      </c>
      <c r="E417" s="62">
        <f t="shared" si="45"/>
        <v>3858944.1764744706</v>
      </c>
      <c r="F417" s="63"/>
      <c r="G417" s="63"/>
      <c r="H417" s="63">
        <v>1270077.8400000001</v>
      </c>
      <c r="I417" s="63">
        <v>1283887.8</v>
      </c>
      <c r="J417" s="63"/>
      <c r="K417" s="63"/>
      <c r="L417" s="63"/>
      <c r="M417" s="63"/>
      <c r="N417" s="63"/>
      <c r="O417" s="63"/>
      <c r="P417" s="63"/>
      <c r="Q417" s="111"/>
      <c r="R417" s="131">
        <v>227071.01</v>
      </c>
      <c r="S417" s="131">
        <v>6857.14</v>
      </c>
      <c r="T417" s="64">
        <v>1071050.3864744699</v>
      </c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</row>
    <row r="418" spans="1:70" x14ac:dyDescent="0.25">
      <c r="A418" s="193">
        <f t="shared" si="46"/>
        <v>398</v>
      </c>
      <c r="B418" s="107">
        <v>199</v>
      </c>
      <c r="C418" s="53" t="s">
        <v>108</v>
      </c>
      <c r="D418" s="107" t="s">
        <v>474</v>
      </c>
      <c r="E418" s="62">
        <f t="shared" si="45"/>
        <v>1528724.7000000002</v>
      </c>
      <c r="F418" s="63">
        <v>0</v>
      </c>
      <c r="G418" s="63">
        <v>0</v>
      </c>
      <c r="H418" s="63">
        <v>0</v>
      </c>
      <c r="I418" s="63">
        <v>0</v>
      </c>
      <c r="J418" s="63">
        <v>1518027.61</v>
      </c>
      <c r="K418" s="63"/>
      <c r="L418" s="63"/>
      <c r="M418" s="63">
        <v>0</v>
      </c>
      <c r="N418" s="63">
        <v>0</v>
      </c>
      <c r="O418" s="63">
        <v>0</v>
      </c>
      <c r="P418" s="63">
        <v>0</v>
      </c>
      <c r="Q418" s="63">
        <v>0</v>
      </c>
      <c r="R418" s="123"/>
      <c r="S418" s="63"/>
      <c r="T418" s="64">
        <v>10697.09</v>
      </c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</row>
    <row r="419" spans="1:70" x14ac:dyDescent="0.25">
      <c r="A419" s="193">
        <f t="shared" si="46"/>
        <v>399</v>
      </c>
      <c r="B419" s="107">
        <v>200</v>
      </c>
      <c r="C419" s="53" t="s">
        <v>108</v>
      </c>
      <c r="D419" s="107" t="s">
        <v>163</v>
      </c>
      <c r="E419" s="62">
        <f t="shared" si="45"/>
        <v>999507.97090059996</v>
      </c>
      <c r="F419" s="63"/>
      <c r="G419" s="63">
        <v>937789.51</v>
      </c>
      <c r="H419" s="63"/>
      <c r="I419" s="63"/>
      <c r="J419" s="63"/>
      <c r="K419" s="63"/>
      <c r="L419" s="63"/>
      <c r="M419" s="63">
        <v>0</v>
      </c>
      <c r="N419" s="63">
        <v>0</v>
      </c>
      <c r="O419" s="63">
        <v>0</v>
      </c>
      <c r="P419" s="63">
        <v>0</v>
      </c>
      <c r="Q419" s="63">
        <v>0</v>
      </c>
      <c r="R419" s="63"/>
      <c r="S419" s="63"/>
      <c r="T419" s="64">
        <v>61718.460900600003</v>
      </c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</row>
    <row r="420" spans="1:70" x14ac:dyDescent="0.25">
      <c r="A420" s="193">
        <f t="shared" si="46"/>
        <v>400</v>
      </c>
      <c r="B420" s="107">
        <f>+B419+1</f>
        <v>201</v>
      </c>
      <c r="C420" s="53" t="s">
        <v>108</v>
      </c>
      <c r="D420" s="107" t="s">
        <v>475</v>
      </c>
      <c r="E420" s="62">
        <f t="shared" si="45"/>
        <v>2114151.1245428799</v>
      </c>
      <c r="F420" s="63"/>
      <c r="G420" s="63"/>
      <c r="H420" s="63">
        <v>1517607.49</v>
      </c>
      <c r="I420" s="63"/>
      <c r="J420" s="63"/>
      <c r="K420" s="63"/>
      <c r="L420" s="63"/>
      <c r="M420" s="63"/>
      <c r="N420" s="63"/>
      <c r="O420" s="63">
        <v>0</v>
      </c>
      <c r="P420" s="63"/>
      <c r="Q420" s="63"/>
      <c r="R420" s="131">
        <v>44088.15</v>
      </c>
      <c r="S420" s="131">
        <v>7680.17</v>
      </c>
      <c r="T420" s="64">
        <v>544775.31454288005</v>
      </c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</row>
    <row r="421" spans="1:70" x14ac:dyDescent="0.25">
      <c r="A421" s="193">
        <f t="shared" si="46"/>
        <v>401</v>
      </c>
      <c r="B421" s="107">
        <f>+B420+1</f>
        <v>202</v>
      </c>
      <c r="C421" s="53" t="s">
        <v>108</v>
      </c>
      <c r="D421" s="107" t="s">
        <v>165</v>
      </c>
      <c r="E421" s="110">
        <f t="shared" si="45"/>
        <v>22323924.05786258</v>
      </c>
      <c r="F421" s="63">
        <v>4825175.6399999997</v>
      </c>
      <c r="G421" s="63"/>
      <c r="H421" s="63">
        <v>1641706.8</v>
      </c>
      <c r="I421" s="63"/>
      <c r="J421" s="63"/>
      <c r="K421" s="63"/>
      <c r="L421" s="63"/>
      <c r="M421" s="63">
        <v>0</v>
      </c>
      <c r="N421" s="63">
        <v>8211860.6200000001</v>
      </c>
      <c r="O421" s="63">
        <v>0</v>
      </c>
      <c r="P421" s="63"/>
      <c r="Q421" s="63">
        <v>6291723.5999999996</v>
      </c>
      <c r="R421" s="131">
        <v>318677.42</v>
      </c>
      <c r="S421" s="131">
        <v>12800</v>
      </c>
      <c r="T421" s="64">
        <v>1021979.97786258</v>
      </c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</row>
    <row r="422" spans="1:70" x14ac:dyDescent="0.25">
      <c r="A422" s="193">
        <f t="shared" si="46"/>
        <v>402</v>
      </c>
      <c r="B422" s="107">
        <f>+B421+1</f>
        <v>203</v>
      </c>
      <c r="C422" s="53" t="s">
        <v>108</v>
      </c>
      <c r="D422" s="107" t="s">
        <v>476</v>
      </c>
      <c r="E422" s="110">
        <f t="shared" si="45"/>
        <v>6757893.4491052404</v>
      </c>
      <c r="F422" s="63">
        <v>6577590.9199999999</v>
      </c>
      <c r="G422" s="63">
        <v>0</v>
      </c>
      <c r="H422" s="63">
        <v>0</v>
      </c>
      <c r="I422" s="63">
        <v>0</v>
      </c>
      <c r="J422" s="63">
        <v>0</v>
      </c>
      <c r="K422" s="63"/>
      <c r="L422" s="63"/>
      <c r="M422" s="63">
        <v>0</v>
      </c>
      <c r="N422" s="63">
        <v>0</v>
      </c>
      <c r="O422" s="63">
        <v>0</v>
      </c>
      <c r="P422" s="63">
        <v>0</v>
      </c>
      <c r="Q422" s="63">
        <v>0</v>
      </c>
      <c r="R422" s="131">
        <v>31452.12</v>
      </c>
      <c r="S422" s="131">
        <v>24000</v>
      </c>
      <c r="T422" s="64">
        <v>124850.40910524</v>
      </c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</row>
    <row r="423" spans="1:70" x14ac:dyDescent="0.25">
      <c r="A423" s="193">
        <f t="shared" si="46"/>
        <v>403</v>
      </c>
      <c r="B423" s="107" t="s">
        <v>455</v>
      </c>
      <c r="C423" s="53" t="s">
        <v>108</v>
      </c>
      <c r="D423" s="107" t="s">
        <v>167</v>
      </c>
      <c r="E423" s="62">
        <f t="shared" si="45"/>
        <v>4237476.6128470805</v>
      </c>
      <c r="F423" s="63"/>
      <c r="G423" s="63">
        <v>2668996.7400000002</v>
      </c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4">
        <v>1568479.87284708</v>
      </c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</row>
    <row r="424" spans="1:70" x14ac:dyDescent="0.25">
      <c r="A424" s="193">
        <f t="shared" si="46"/>
        <v>404</v>
      </c>
      <c r="B424" s="107" t="s">
        <v>455</v>
      </c>
      <c r="C424" s="53" t="s">
        <v>108</v>
      </c>
      <c r="D424" s="107" t="s">
        <v>168</v>
      </c>
      <c r="E424" s="62">
        <f t="shared" si="45"/>
        <v>5406353.6469089203</v>
      </c>
      <c r="F424" s="63">
        <v>4620721.5219999999</v>
      </c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4">
        <v>785632.12490892003</v>
      </c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</row>
    <row r="425" spans="1:70" x14ac:dyDescent="0.25">
      <c r="A425" s="193">
        <f t="shared" si="46"/>
        <v>405</v>
      </c>
      <c r="B425" s="107" t="s">
        <v>455</v>
      </c>
      <c r="C425" s="53" t="s">
        <v>108</v>
      </c>
      <c r="D425" s="107" t="s">
        <v>365</v>
      </c>
      <c r="E425" s="62">
        <f t="shared" si="45"/>
        <v>2006460.0392457601</v>
      </c>
      <c r="F425" s="63"/>
      <c r="G425" s="63">
        <v>1434980.99</v>
      </c>
      <c r="H425" s="63"/>
      <c r="I425" s="63"/>
      <c r="J425" s="63"/>
      <c r="K425" s="63"/>
      <c r="L425" s="63"/>
      <c r="M425" s="63">
        <v>0</v>
      </c>
      <c r="N425" s="63"/>
      <c r="O425" s="63">
        <v>0</v>
      </c>
      <c r="P425" s="63">
        <v>0</v>
      </c>
      <c r="Q425" s="63"/>
      <c r="R425" s="63">
        <v>31225.9</v>
      </c>
      <c r="S425" s="63">
        <v>4800</v>
      </c>
      <c r="T425" s="64">
        <v>535453.14924576005</v>
      </c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</row>
    <row r="426" spans="1:70" x14ac:dyDescent="0.25">
      <c r="A426" s="193">
        <f t="shared" si="46"/>
        <v>406</v>
      </c>
      <c r="B426" s="107" t="s">
        <v>455</v>
      </c>
      <c r="C426" s="53" t="s">
        <v>108</v>
      </c>
      <c r="D426" s="107" t="s">
        <v>366</v>
      </c>
      <c r="E426" s="62">
        <f t="shared" si="45"/>
        <v>2368167.00260972</v>
      </c>
      <c r="F426" s="63"/>
      <c r="G426" s="63">
        <v>1788007.61</v>
      </c>
      <c r="H426" s="63"/>
      <c r="I426" s="63"/>
      <c r="J426" s="63"/>
      <c r="K426" s="63"/>
      <c r="L426" s="63"/>
      <c r="M426" s="63">
        <v>0</v>
      </c>
      <c r="N426" s="63"/>
      <c r="O426" s="63">
        <v>0</v>
      </c>
      <c r="P426" s="63">
        <v>0</v>
      </c>
      <c r="Q426" s="63">
        <v>0</v>
      </c>
      <c r="R426" s="63">
        <v>31082.15</v>
      </c>
      <c r="S426" s="63">
        <v>4800</v>
      </c>
      <c r="T426" s="64">
        <v>544277.24260971998</v>
      </c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</row>
    <row r="427" spans="1:70" x14ac:dyDescent="0.25">
      <c r="A427" s="193">
        <f t="shared" si="46"/>
        <v>407</v>
      </c>
      <c r="B427" s="107" t="s">
        <v>455</v>
      </c>
      <c r="C427" s="53" t="s">
        <v>108</v>
      </c>
      <c r="D427" s="107" t="s">
        <v>367</v>
      </c>
      <c r="E427" s="62">
        <f t="shared" si="45"/>
        <v>8639397.3008026406</v>
      </c>
      <c r="F427" s="63">
        <v>6881617.8399999999</v>
      </c>
      <c r="G427" s="63">
        <v>998152.7</v>
      </c>
      <c r="H427" s="63"/>
      <c r="I427" s="63"/>
      <c r="J427" s="63"/>
      <c r="K427" s="63"/>
      <c r="L427" s="63"/>
      <c r="M427" s="63">
        <v>0</v>
      </c>
      <c r="N427" s="63"/>
      <c r="O427" s="63">
        <v>0</v>
      </c>
      <c r="P427" s="63">
        <v>0</v>
      </c>
      <c r="Q427" s="63"/>
      <c r="R427" s="63"/>
      <c r="S427" s="63"/>
      <c r="T427" s="64">
        <v>759626.76080264</v>
      </c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</row>
    <row r="428" spans="1:70" x14ac:dyDescent="0.25">
      <c r="A428" s="193">
        <f t="shared" si="46"/>
        <v>408</v>
      </c>
      <c r="B428" s="107" t="s">
        <v>455</v>
      </c>
      <c r="C428" s="53" t="s">
        <v>108</v>
      </c>
      <c r="D428" s="107" t="s">
        <v>173</v>
      </c>
      <c r="E428" s="62">
        <f t="shared" si="45"/>
        <v>47377493.932860568</v>
      </c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>
        <v>27117129.620000001</v>
      </c>
      <c r="Q428" s="63">
        <v>18561498.890000001</v>
      </c>
      <c r="R428" s="63">
        <v>325518.36</v>
      </c>
      <c r="S428" s="63">
        <v>28000</v>
      </c>
      <c r="T428" s="64">
        <f>552568.07023182+792778.99262874</f>
        <v>1345347.0628605601</v>
      </c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</row>
    <row r="429" spans="1:70" x14ac:dyDescent="0.25">
      <c r="A429" s="193">
        <f t="shared" si="46"/>
        <v>409</v>
      </c>
      <c r="B429" s="107" t="s">
        <v>455</v>
      </c>
      <c r="C429" s="53" t="s">
        <v>108</v>
      </c>
      <c r="D429" s="53" t="s">
        <v>369</v>
      </c>
      <c r="E429" s="62">
        <f t="shared" si="45"/>
        <v>7763056.1874070801</v>
      </c>
      <c r="F429" s="55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>
        <v>6630811.4699999997</v>
      </c>
      <c r="R429" s="63"/>
      <c r="S429" s="63"/>
      <c r="T429" s="64">
        <v>1132244.7174070801</v>
      </c>
      <c r="U429" s="205"/>
    </row>
    <row r="430" spans="1:70" x14ac:dyDescent="0.25">
      <c r="A430" s="193">
        <f t="shared" si="46"/>
        <v>410</v>
      </c>
      <c r="B430" s="107" t="s">
        <v>455</v>
      </c>
      <c r="C430" s="53" t="s">
        <v>108</v>
      </c>
      <c r="D430" s="107" t="s">
        <v>374</v>
      </c>
      <c r="E430" s="62">
        <f t="shared" si="45"/>
        <v>2646510.4078939999</v>
      </c>
      <c r="F430" s="63"/>
      <c r="G430" s="63"/>
      <c r="H430" s="63">
        <v>2642400.08</v>
      </c>
      <c r="I430" s="63">
        <v>0</v>
      </c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4">
        <v>4110.327894</v>
      </c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</row>
    <row r="431" spans="1:70" x14ac:dyDescent="0.25">
      <c r="A431" s="193">
        <f t="shared" si="46"/>
        <v>411</v>
      </c>
      <c r="B431" s="107">
        <v>204</v>
      </c>
      <c r="C431" s="53" t="s">
        <v>108</v>
      </c>
      <c r="D431" s="107" t="s">
        <v>477</v>
      </c>
      <c r="E431" s="62">
        <f t="shared" si="45"/>
        <v>5949742.1280124588</v>
      </c>
      <c r="F431" s="63"/>
      <c r="G431" s="63"/>
      <c r="H431" s="63"/>
      <c r="I431" s="63"/>
      <c r="J431" s="63"/>
      <c r="K431" s="63"/>
      <c r="L431" s="63"/>
      <c r="M431" s="63"/>
      <c r="N431" s="63">
        <v>5449539.4299999997</v>
      </c>
      <c r="O431" s="63"/>
      <c r="P431" s="63"/>
      <c r="Q431" s="63"/>
      <c r="R431" s="63">
        <v>226258.43</v>
      </c>
      <c r="S431" s="63">
        <v>24000</v>
      </c>
      <c r="T431" s="64">
        <v>249944.26801245901</v>
      </c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</row>
    <row r="432" spans="1:70" x14ac:dyDescent="0.25">
      <c r="A432" s="193">
        <f t="shared" si="46"/>
        <v>412</v>
      </c>
      <c r="B432" s="107" t="s">
        <v>455</v>
      </c>
      <c r="C432" s="53" t="s">
        <v>108</v>
      </c>
      <c r="D432" s="107" t="s">
        <v>375</v>
      </c>
      <c r="E432" s="110">
        <f t="shared" si="45"/>
        <v>14415759.545138862</v>
      </c>
      <c r="F432" s="63">
        <v>5021208.78</v>
      </c>
      <c r="G432" s="63">
        <v>734322.14</v>
      </c>
      <c r="H432" s="63"/>
      <c r="I432" s="63">
        <v>1975667.5</v>
      </c>
      <c r="J432" s="63"/>
      <c r="K432" s="63"/>
      <c r="L432" s="63"/>
      <c r="M432" s="63">
        <v>0</v>
      </c>
      <c r="N432" s="63">
        <v>0</v>
      </c>
      <c r="O432" s="63">
        <v>0</v>
      </c>
      <c r="P432" s="63">
        <v>5170020</v>
      </c>
      <c r="Q432" s="63"/>
      <c r="R432" s="63">
        <v>767714.5</v>
      </c>
      <c r="S432" s="63">
        <v>13714.29</v>
      </c>
      <c r="T432" s="64">
        <v>733112.33513886202</v>
      </c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</row>
    <row r="433" spans="1:70" x14ac:dyDescent="0.25">
      <c r="A433" s="193">
        <f t="shared" si="46"/>
        <v>413</v>
      </c>
      <c r="B433" s="107" t="s">
        <v>455</v>
      </c>
      <c r="C433" s="53" t="s">
        <v>108</v>
      </c>
      <c r="D433" s="107" t="s">
        <v>178</v>
      </c>
      <c r="E433" s="110">
        <f t="shared" si="45"/>
        <v>10294729.31377802</v>
      </c>
      <c r="F433" s="63"/>
      <c r="G433" s="63"/>
      <c r="H433" s="63"/>
      <c r="I433" s="63"/>
      <c r="J433" s="63"/>
      <c r="K433" s="63"/>
      <c r="L433" s="63"/>
      <c r="M433" s="63"/>
      <c r="N433" s="63"/>
      <c r="O433" s="63">
        <v>0</v>
      </c>
      <c r="P433" s="63"/>
      <c r="Q433" s="63">
        <v>8872451.1999999993</v>
      </c>
      <c r="R433" s="63">
        <v>459249.81</v>
      </c>
      <c r="S433" s="63">
        <v>16000</v>
      </c>
      <c r="T433" s="64">
        <v>947028.30377802101</v>
      </c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</row>
    <row r="434" spans="1:70" x14ac:dyDescent="0.25">
      <c r="A434" s="193">
        <f>+A432+1</f>
        <v>413</v>
      </c>
      <c r="B434" s="107" t="s">
        <v>455</v>
      </c>
      <c r="C434" s="53" t="s">
        <v>108</v>
      </c>
      <c r="D434" s="107" t="s">
        <v>381</v>
      </c>
      <c r="E434" s="110">
        <f t="shared" si="45"/>
        <v>13036284.915639849</v>
      </c>
      <c r="F434" s="63">
        <v>8087620.75</v>
      </c>
      <c r="G434" s="63">
        <v>3000884.73</v>
      </c>
      <c r="H434" s="63">
        <v>0</v>
      </c>
      <c r="I434" s="63">
        <v>0</v>
      </c>
      <c r="J434" s="63"/>
      <c r="K434" s="63"/>
      <c r="L434" s="63"/>
      <c r="M434" s="63">
        <v>0</v>
      </c>
      <c r="N434" s="63"/>
      <c r="O434" s="63">
        <v>0</v>
      </c>
      <c r="P434" s="63"/>
      <c r="Q434" s="63"/>
      <c r="R434" s="63">
        <v>411763.35</v>
      </c>
      <c r="S434" s="63">
        <v>9600</v>
      </c>
      <c r="T434" s="64">
        <v>1526416.08563985</v>
      </c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</row>
    <row r="435" spans="1:70" s="136" customFormat="1" x14ac:dyDescent="0.25">
      <c r="A435" s="193">
        <f t="shared" ref="A435:A480" si="47">+A434+1</f>
        <v>414</v>
      </c>
      <c r="B435" s="107" t="s">
        <v>455</v>
      </c>
      <c r="C435" s="53" t="s">
        <v>108</v>
      </c>
      <c r="D435" s="107" t="s">
        <v>384</v>
      </c>
      <c r="E435" s="62">
        <f t="shared" si="45"/>
        <v>4064726.0555876191</v>
      </c>
      <c r="F435" s="63"/>
      <c r="G435" s="63"/>
      <c r="H435" s="63"/>
      <c r="I435" s="63">
        <v>2042385.11</v>
      </c>
      <c r="J435" s="63">
        <v>1046167.7</v>
      </c>
      <c r="K435" s="63"/>
      <c r="L435" s="63"/>
      <c r="M435" s="63"/>
      <c r="N435" s="63"/>
      <c r="O435" s="63"/>
      <c r="P435" s="63"/>
      <c r="Q435" s="63"/>
      <c r="R435" s="63">
        <v>302755.78999999998</v>
      </c>
      <c r="S435" s="63">
        <v>12000</v>
      </c>
      <c r="T435" s="64">
        <v>661417.45558761898</v>
      </c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</row>
    <row r="436" spans="1:70" x14ac:dyDescent="0.25">
      <c r="A436" s="193">
        <f t="shared" si="47"/>
        <v>415</v>
      </c>
      <c r="B436" s="107">
        <v>205</v>
      </c>
      <c r="C436" s="53" t="s">
        <v>108</v>
      </c>
      <c r="D436" s="107" t="s">
        <v>195</v>
      </c>
      <c r="E436" s="62">
        <f t="shared" si="45"/>
        <v>1849287.58624074</v>
      </c>
      <c r="F436" s="63"/>
      <c r="G436" s="63"/>
      <c r="H436" s="63"/>
      <c r="I436" s="63">
        <v>790873.3</v>
      </c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4">
        <v>1058414.28624074</v>
      </c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</row>
    <row r="437" spans="1:70" x14ac:dyDescent="0.25">
      <c r="A437" s="193">
        <f t="shared" si="47"/>
        <v>416</v>
      </c>
      <c r="B437" s="107" t="s">
        <v>455</v>
      </c>
      <c r="C437" s="53" t="s">
        <v>108</v>
      </c>
      <c r="D437" s="107" t="s">
        <v>387</v>
      </c>
      <c r="E437" s="110">
        <f t="shared" si="45"/>
        <v>8154575.1984415213</v>
      </c>
      <c r="F437" s="63">
        <v>3126691.49</v>
      </c>
      <c r="G437" s="63">
        <v>1010526.62</v>
      </c>
      <c r="H437" s="63"/>
      <c r="I437" s="63">
        <v>965070.61</v>
      </c>
      <c r="J437" s="63"/>
      <c r="K437" s="63"/>
      <c r="L437" s="63"/>
      <c r="M437" s="63">
        <v>0</v>
      </c>
      <c r="N437" s="63"/>
      <c r="O437" s="63">
        <v>0</v>
      </c>
      <c r="P437" s="63"/>
      <c r="Q437" s="63">
        <v>2487164.06</v>
      </c>
      <c r="R437" s="63"/>
      <c r="S437" s="63"/>
      <c r="T437" s="64">
        <v>565122.41844151996</v>
      </c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</row>
    <row r="438" spans="1:70" x14ac:dyDescent="0.25">
      <c r="A438" s="193">
        <f t="shared" si="47"/>
        <v>417</v>
      </c>
      <c r="B438" s="107">
        <v>206</v>
      </c>
      <c r="C438" s="53" t="s">
        <v>197</v>
      </c>
      <c r="D438" s="107" t="s">
        <v>200</v>
      </c>
      <c r="E438" s="62">
        <f t="shared" si="45"/>
        <v>1505175.2862806199</v>
      </c>
      <c r="F438" s="63"/>
      <c r="G438" s="63"/>
      <c r="H438" s="63">
        <v>1451159.65</v>
      </c>
      <c r="I438" s="63">
        <v>0</v>
      </c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4">
        <v>54015.636280619998</v>
      </c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</row>
    <row r="439" spans="1:70" x14ac:dyDescent="0.25">
      <c r="A439" s="193">
        <f t="shared" si="47"/>
        <v>418</v>
      </c>
      <c r="B439" s="107">
        <f>+B438+1</f>
        <v>207</v>
      </c>
      <c r="C439" s="53" t="s">
        <v>197</v>
      </c>
      <c r="D439" s="107" t="s">
        <v>203</v>
      </c>
      <c r="E439" s="62">
        <f t="shared" si="45"/>
        <v>545697.48525411997</v>
      </c>
      <c r="F439" s="63">
        <v>0</v>
      </c>
      <c r="G439" s="63"/>
      <c r="H439" s="63">
        <v>536702.36</v>
      </c>
      <c r="I439" s="63"/>
      <c r="J439" s="63">
        <v>0</v>
      </c>
      <c r="K439" s="63"/>
      <c r="L439" s="63"/>
      <c r="M439" s="63">
        <v>0</v>
      </c>
      <c r="N439" s="63"/>
      <c r="O439" s="63">
        <v>0</v>
      </c>
      <c r="P439" s="63">
        <v>0</v>
      </c>
      <c r="Q439" s="63">
        <v>0</v>
      </c>
      <c r="R439" s="63"/>
      <c r="S439" s="63"/>
      <c r="T439" s="64">
        <v>8995.1252541199992</v>
      </c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</row>
    <row r="440" spans="1:70" x14ac:dyDescent="0.25">
      <c r="A440" s="193">
        <f t="shared" si="47"/>
        <v>419</v>
      </c>
      <c r="B440" s="107">
        <v>208</v>
      </c>
      <c r="C440" s="53" t="s">
        <v>389</v>
      </c>
      <c r="D440" s="107" t="s">
        <v>478</v>
      </c>
      <c r="E440" s="62">
        <f t="shared" ref="E440:E445" si="48">SUM(F440:T440)</f>
        <v>5303856.8084860677</v>
      </c>
      <c r="F440" s="107"/>
      <c r="G440" s="63"/>
      <c r="H440" s="63"/>
      <c r="I440" s="63"/>
      <c r="J440" s="63"/>
      <c r="K440" s="63"/>
      <c r="L440" s="63"/>
      <c r="M440" s="63"/>
      <c r="N440" s="63"/>
      <c r="O440" s="63"/>
      <c r="P440" s="63">
        <v>5178857.0599999996</v>
      </c>
      <c r="Q440" s="63"/>
      <c r="R440" s="63"/>
      <c r="S440" s="63">
        <v>4800</v>
      </c>
      <c r="T440" s="64">
        <v>120199.748486068</v>
      </c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</row>
    <row r="441" spans="1:70" x14ac:dyDescent="0.25">
      <c r="A441" s="193">
        <f t="shared" si="47"/>
        <v>420</v>
      </c>
      <c r="B441" s="107">
        <f t="shared" ref="B441:B451" si="49">+B440+1</f>
        <v>209</v>
      </c>
      <c r="C441" s="53" t="s">
        <v>389</v>
      </c>
      <c r="D441" s="107" t="s">
        <v>480</v>
      </c>
      <c r="E441" s="62">
        <f t="shared" si="48"/>
        <v>4868121.7975999909</v>
      </c>
      <c r="F441" s="107"/>
      <c r="G441" s="63"/>
      <c r="H441" s="63"/>
      <c r="I441" s="63"/>
      <c r="J441" s="63"/>
      <c r="K441" s="63"/>
      <c r="L441" s="63"/>
      <c r="M441" s="63"/>
      <c r="N441" s="63"/>
      <c r="O441" s="63"/>
      <c r="P441" s="63">
        <v>4728736.2300000004</v>
      </c>
      <c r="Q441" s="63"/>
      <c r="R441" s="63"/>
      <c r="S441" s="63">
        <v>24000</v>
      </c>
      <c r="T441" s="64">
        <v>115385.56759999</v>
      </c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</row>
    <row r="442" spans="1:70" x14ac:dyDescent="0.25">
      <c r="A442" s="193">
        <f t="shared" si="47"/>
        <v>421</v>
      </c>
      <c r="B442" s="107">
        <f t="shared" si="49"/>
        <v>210</v>
      </c>
      <c r="C442" s="53" t="s">
        <v>389</v>
      </c>
      <c r="D442" s="107" t="s">
        <v>481</v>
      </c>
      <c r="E442" s="62">
        <f t="shared" si="48"/>
        <v>4977253.8532067155</v>
      </c>
      <c r="F442" s="107"/>
      <c r="G442" s="63"/>
      <c r="H442" s="63"/>
      <c r="I442" s="63"/>
      <c r="J442" s="63"/>
      <c r="K442" s="63"/>
      <c r="L442" s="63"/>
      <c r="M442" s="63"/>
      <c r="N442" s="63"/>
      <c r="O442" s="63"/>
      <c r="P442" s="63">
        <v>4842407.9800000004</v>
      </c>
      <c r="Q442" s="63"/>
      <c r="R442" s="63"/>
      <c r="S442" s="63">
        <v>4800</v>
      </c>
      <c r="T442" s="64">
        <v>130045.873206715</v>
      </c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</row>
    <row r="443" spans="1:70" x14ac:dyDescent="0.25">
      <c r="A443" s="193">
        <f t="shared" si="47"/>
        <v>422</v>
      </c>
      <c r="B443" s="107">
        <f t="shared" si="49"/>
        <v>211</v>
      </c>
      <c r="C443" s="53" t="s">
        <v>389</v>
      </c>
      <c r="D443" s="107" t="s">
        <v>483</v>
      </c>
      <c r="E443" s="62">
        <f t="shared" si="48"/>
        <v>4871089.8257551081</v>
      </c>
      <c r="F443" s="107"/>
      <c r="G443" s="63"/>
      <c r="H443" s="63"/>
      <c r="I443" s="63"/>
      <c r="J443" s="63"/>
      <c r="K443" s="63"/>
      <c r="L443" s="63"/>
      <c r="M443" s="63"/>
      <c r="N443" s="63"/>
      <c r="O443" s="63"/>
      <c r="P443" s="63">
        <v>4747460.04</v>
      </c>
      <c r="Q443" s="63"/>
      <c r="R443" s="63"/>
      <c r="S443" s="63">
        <v>6000</v>
      </c>
      <c r="T443" s="64">
        <v>117629.78575510799</v>
      </c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</row>
    <row r="444" spans="1:70" x14ac:dyDescent="0.25">
      <c r="A444" s="193">
        <f t="shared" si="47"/>
        <v>423</v>
      </c>
      <c r="B444" s="107">
        <f t="shared" si="49"/>
        <v>212</v>
      </c>
      <c r="C444" s="53" t="s">
        <v>389</v>
      </c>
      <c r="D444" s="107" t="s">
        <v>484</v>
      </c>
      <c r="E444" s="62">
        <f t="shared" si="48"/>
        <v>4986091.3295065314</v>
      </c>
      <c r="F444" s="107"/>
      <c r="G444" s="63"/>
      <c r="H444" s="63"/>
      <c r="I444" s="63"/>
      <c r="J444" s="63"/>
      <c r="K444" s="63"/>
      <c r="L444" s="63"/>
      <c r="M444" s="63"/>
      <c r="N444" s="63"/>
      <c r="O444" s="63"/>
      <c r="P444" s="63">
        <v>4867327.5199999996</v>
      </c>
      <c r="Q444" s="63"/>
      <c r="R444" s="63"/>
      <c r="S444" s="63">
        <v>4800</v>
      </c>
      <c r="T444" s="64">
        <v>113963.80950653199</v>
      </c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</row>
    <row r="445" spans="1:70" x14ac:dyDescent="0.25">
      <c r="A445" s="193">
        <f t="shared" si="47"/>
        <v>424</v>
      </c>
      <c r="B445" s="107">
        <f t="shared" si="49"/>
        <v>213</v>
      </c>
      <c r="C445" s="53" t="s">
        <v>389</v>
      </c>
      <c r="D445" s="107" t="s">
        <v>486</v>
      </c>
      <c r="E445" s="62">
        <f t="shared" si="48"/>
        <v>8118629.5021869671</v>
      </c>
      <c r="F445" s="107"/>
      <c r="G445" s="63"/>
      <c r="H445" s="63"/>
      <c r="I445" s="63"/>
      <c r="J445" s="63"/>
      <c r="K445" s="63"/>
      <c r="L445" s="63"/>
      <c r="M445" s="63"/>
      <c r="N445" s="63"/>
      <c r="O445" s="63"/>
      <c r="P445" s="63">
        <v>7955657.8700000001</v>
      </c>
      <c r="Q445" s="63"/>
      <c r="R445" s="63"/>
      <c r="S445" s="63">
        <v>8000</v>
      </c>
      <c r="T445" s="64">
        <v>154971.63218696701</v>
      </c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</row>
    <row r="446" spans="1:70" x14ac:dyDescent="0.25">
      <c r="A446" s="193">
        <f t="shared" si="47"/>
        <v>425</v>
      </c>
      <c r="B446" s="107">
        <f t="shared" si="49"/>
        <v>214</v>
      </c>
      <c r="C446" s="53" t="s">
        <v>204</v>
      </c>
      <c r="D446" s="107" t="s">
        <v>487</v>
      </c>
      <c r="E446" s="62">
        <f t="shared" ref="E446:E480" si="50">SUBTOTAL(9, F446:T446)</f>
        <v>2223661.8394323601</v>
      </c>
      <c r="F446" s="63">
        <v>992115.39</v>
      </c>
      <c r="G446" s="63">
        <v>816974.44</v>
      </c>
      <c r="H446" s="63"/>
      <c r="I446" s="63">
        <v>242295.61</v>
      </c>
      <c r="J446" s="63">
        <v>0</v>
      </c>
      <c r="K446" s="63"/>
      <c r="L446" s="63"/>
      <c r="M446" s="63">
        <v>0</v>
      </c>
      <c r="N446" s="63">
        <v>0</v>
      </c>
      <c r="O446" s="63">
        <v>0</v>
      </c>
      <c r="P446" s="63">
        <v>0</v>
      </c>
      <c r="Q446" s="63">
        <v>0</v>
      </c>
      <c r="R446" s="63">
        <v>38236.870000000003</v>
      </c>
      <c r="S446" s="63">
        <v>18000</v>
      </c>
      <c r="T446" s="64">
        <v>116039.52943236</v>
      </c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</row>
    <row r="447" spans="1:70" x14ac:dyDescent="0.25">
      <c r="A447" s="193">
        <f t="shared" si="47"/>
        <v>426</v>
      </c>
      <c r="B447" s="107">
        <f t="shared" si="49"/>
        <v>215</v>
      </c>
      <c r="C447" s="53" t="s">
        <v>204</v>
      </c>
      <c r="D447" s="107" t="s">
        <v>488</v>
      </c>
      <c r="E447" s="62">
        <f t="shared" si="50"/>
        <v>3273285.0261359196</v>
      </c>
      <c r="F447" s="63">
        <v>1703436.36</v>
      </c>
      <c r="G447" s="63">
        <v>859294.68</v>
      </c>
      <c r="H447" s="63"/>
      <c r="I447" s="63">
        <v>422101.36</v>
      </c>
      <c r="J447" s="63">
        <v>0</v>
      </c>
      <c r="K447" s="63"/>
      <c r="L447" s="63"/>
      <c r="M447" s="63">
        <v>0</v>
      </c>
      <c r="N447" s="63">
        <v>0</v>
      </c>
      <c r="O447" s="63">
        <v>0</v>
      </c>
      <c r="P447" s="63">
        <v>0</v>
      </c>
      <c r="Q447" s="63">
        <v>0</v>
      </c>
      <c r="R447" s="63">
        <v>52503.42</v>
      </c>
      <c r="S447" s="63">
        <v>18000</v>
      </c>
      <c r="T447" s="64">
        <v>217949.20613591999</v>
      </c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</row>
    <row r="448" spans="1:70" x14ac:dyDescent="0.25">
      <c r="A448" s="193">
        <f t="shared" si="47"/>
        <v>427</v>
      </c>
      <c r="B448" s="107">
        <f t="shared" si="49"/>
        <v>216</v>
      </c>
      <c r="C448" s="53" t="s">
        <v>206</v>
      </c>
      <c r="D448" s="107" t="s">
        <v>208</v>
      </c>
      <c r="E448" s="62">
        <f t="shared" si="50"/>
        <v>355868.250956</v>
      </c>
      <c r="F448" s="63">
        <v>0</v>
      </c>
      <c r="G448" s="63">
        <v>0</v>
      </c>
      <c r="H448" s="63">
        <v>226071.44</v>
      </c>
      <c r="I448" s="63">
        <v>0</v>
      </c>
      <c r="J448" s="63">
        <v>0</v>
      </c>
      <c r="K448" s="63"/>
      <c r="L448" s="63"/>
      <c r="M448" s="63">
        <v>0</v>
      </c>
      <c r="N448" s="63"/>
      <c r="O448" s="63">
        <v>0</v>
      </c>
      <c r="P448" s="63">
        <v>0</v>
      </c>
      <c r="Q448" s="63">
        <v>0</v>
      </c>
      <c r="R448" s="63"/>
      <c r="S448" s="63"/>
      <c r="T448" s="64">
        <v>129796.810956</v>
      </c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</row>
    <row r="449" spans="1:70" x14ac:dyDescent="0.25">
      <c r="A449" s="193">
        <f t="shared" si="47"/>
        <v>428</v>
      </c>
      <c r="B449" s="107">
        <f t="shared" si="49"/>
        <v>217</v>
      </c>
      <c r="C449" s="53" t="s">
        <v>206</v>
      </c>
      <c r="D449" s="107" t="s">
        <v>211</v>
      </c>
      <c r="E449" s="62">
        <f t="shared" si="50"/>
        <v>374675.35644200002</v>
      </c>
      <c r="F449" s="63">
        <v>0</v>
      </c>
      <c r="G449" s="63">
        <v>0</v>
      </c>
      <c r="H449" s="63">
        <v>240520.95999999999</v>
      </c>
      <c r="I449" s="63">
        <v>0</v>
      </c>
      <c r="J449" s="63">
        <v>0</v>
      </c>
      <c r="K449" s="63"/>
      <c r="L449" s="63"/>
      <c r="M449" s="63">
        <v>0</v>
      </c>
      <c r="N449" s="63"/>
      <c r="O449" s="63">
        <v>0</v>
      </c>
      <c r="P449" s="63">
        <v>0</v>
      </c>
      <c r="Q449" s="63">
        <v>0</v>
      </c>
      <c r="R449" s="63"/>
      <c r="S449" s="63"/>
      <c r="T449" s="64">
        <v>134154.396442</v>
      </c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</row>
    <row r="450" spans="1:70" x14ac:dyDescent="0.25">
      <c r="A450" s="193">
        <f t="shared" si="47"/>
        <v>429</v>
      </c>
      <c r="B450" s="107">
        <f t="shared" si="49"/>
        <v>218</v>
      </c>
      <c r="C450" s="53" t="s">
        <v>206</v>
      </c>
      <c r="D450" s="107" t="s">
        <v>489</v>
      </c>
      <c r="E450" s="62">
        <f t="shared" si="50"/>
        <v>265206.89065399999</v>
      </c>
      <c r="F450" s="63">
        <v>0</v>
      </c>
      <c r="G450" s="63">
        <v>0</v>
      </c>
      <c r="H450" s="63">
        <v>253456.48</v>
      </c>
      <c r="I450" s="63">
        <v>0</v>
      </c>
      <c r="J450" s="63">
        <v>0</v>
      </c>
      <c r="K450" s="63"/>
      <c r="L450" s="63"/>
      <c r="M450" s="63">
        <v>0</v>
      </c>
      <c r="N450" s="63">
        <v>0</v>
      </c>
      <c r="O450" s="63">
        <v>0</v>
      </c>
      <c r="P450" s="63">
        <v>0</v>
      </c>
      <c r="Q450" s="63">
        <v>0</v>
      </c>
      <c r="R450" s="63"/>
      <c r="S450" s="63"/>
      <c r="T450" s="64">
        <v>11750.410653999999</v>
      </c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</row>
    <row r="451" spans="1:70" x14ac:dyDescent="0.25">
      <c r="A451" s="193">
        <f t="shared" si="47"/>
        <v>430</v>
      </c>
      <c r="B451" s="107">
        <f t="shared" si="49"/>
        <v>219</v>
      </c>
      <c r="C451" s="53" t="s">
        <v>206</v>
      </c>
      <c r="D451" s="107" t="s">
        <v>490</v>
      </c>
      <c r="E451" s="62">
        <f t="shared" si="50"/>
        <v>857470.99628903996</v>
      </c>
      <c r="F451" s="63"/>
      <c r="G451" s="63">
        <v>601824.37</v>
      </c>
      <c r="H451" s="63"/>
      <c r="I451" s="63"/>
      <c r="J451" s="63">
        <v>0</v>
      </c>
      <c r="K451" s="63"/>
      <c r="L451" s="63"/>
      <c r="M451" s="63">
        <v>0</v>
      </c>
      <c r="N451" s="63"/>
      <c r="O451" s="63">
        <v>0</v>
      </c>
      <c r="P451" s="63">
        <v>0</v>
      </c>
      <c r="Q451" s="63">
        <v>0</v>
      </c>
      <c r="R451" s="63">
        <v>13790.96</v>
      </c>
      <c r="S451" s="63">
        <v>4800</v>
      </c>
      <c r="T451" s="64">
        <v>237055.66628904</v>
      </c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</row>
    <row r="452" spans="1:70" x14ac:dyDescent="0.25">
      <c r="A452" s="193">
        <f t="shared" si="47"/>
        <v>431</v>
      </c>
      <c r="B452" s="107" t="s">
        <v>455</v>
      </c>
      <c r="C452" s="53" t="s">
        <v>206</v>
      </c>
      <c r="D452" s="107" t="s">
        <v>207</v>
      </c>
      <c r="E452" s="62">
        <f t="shared" si="50"/>
        <v>465507.01848374004</v>
      </c>
      <c r="F452" s="63"/>
      <c r="G452" s="63"/>
      <c r="H452" s="63">
        <v>0</v>
      </c>
      <c r="I452" s="63">
        <v>223889.01</v>
      </c>
      <c r="J452" s="63"/>
      <c r="K452" s="63"/>
      <c r="L452" s="63"/>
      <c r="M452" s="63">
        <v>0</v>
      </c>
      <c r="N452" s="63">
        <v>0</v>
      </c>
      <c r="O452" s="63"/>
      <c r="P452" s="63">
        <v>0</v>
      </c>
      <c r="Q452" s="63"/>
      <c r="R452" s="63"/>
      <c r="S452" s="63"/>
      <c r="T452" s="64">
        <v>241618.00848374001</v>
      </c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</row>
    <row r="453" spans="1:70" ht="13.5" customHeight="1" x14ac:dyDescent="0.25">
      <c r="A453" s="193">
        <f t="shared" si="47"/>
        <v>432</v>
      </c>
      <c r="B453" s="107" t="s">
        <v>455</v>
      </c>
      <c r="C453" s="53" t="s">
        <v>206</v>
      </c>
      <c r="D453" s="107" t="s">
        <v>209</v>
      </c>
      <c r="E453" s="62">
        <f t="shared" si="50"/>
        <v>511666.01998982002</v>
      </c>
      <c r="F453" s="63"/>
      <c r="G453" s="63"/>
      <c r="H453" s="63">
        <v>0</v>
      </c>
      <c r="I453" s="63">
        <v>223889.01</v>
      </c>
      <c r="J453" s="63"/>
      <c r="K453" s="63"/>
      <c r="L453" s="63"/>
      <c r="M453" s="63">
        <v>0</v>
      </c>
      <c r="N453" s="63">
        <v>0</v>
      </c>
      <c r="O453" s="63"/>
      <c r="P453" s="63">
        <v>0</v>
      </c>
      <c r="Q453" s="63"/>
      <c r="R453" s="63"/>
      <c r="S453" s="63"/>
      <c r="T453" s="64">
        <v>287777.00998982001</v>
      </c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</row>
    <row r="454" spans="1:70" x14ac:dyDescent="0.25">
      <c r="A454" s="193">
        <f t="shared" si="47"/>
        <v>433</v>
      </c>
      <c r="B454" s="107">
        <v>220</v>
      </c>
      <c r="C454" s="53" t="s">
        <v>206</v>
      </c>
      <c r="D454" s="107" t="s">
        <v>210</v>
      </c>
      <c r="E454" s="62">
        <f t="shared" si="50"/>
        <v>3126144.1751458002</v>
      </c>
      <c r="F454" s="63"/>
      <c r="G454" s="63"/>
      <c r="H454" s="63">
        <v>0</v>
      </c>
      <c r="I454" s="63">
        <v>278729.45</v>
      </c>
      <c r="J454" s="63"/>
      <c r="K454" s="63"/>
      <c r="L454" s="63"/>
      <c r="M454" s="63">
        <v>0</v>
      </c>
      <c r="N454" s="63">
        <v>0</v>
      </c>
      <c r="O454" s="63">
        <v>2639085.08</v>
      </c>
      <c r="P454" s="63">
        <v>0</v>
      </c>
      <c r="Q454" s="63"/>
      <c r="R454" s="63"/>
      <c r="S454" s="63"/>
      <c r="T454" s="64">
        <v>208329.64514579999</v>
      </c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</row>
    <row r="455" spans="1:70" x14ac:dyDescent="0.25">
      <c r="A455" s="193">
        <f t="shared" si="47"/>
        <v>434</v>
      </c>
      <c r="B455" s="107">
        <v>221</v>
      </c>
      <c r="C455" s="53" t="s">
        <v>397</v>
      </c>
      <c r="D455" s="107" t="s">
        <v>491</v>
      </c>
      <c r="E455" s="62">
        <f t="shared" si="50"/>
        <v>526378.2994685102</v>
      </c>
      <c r="F455" s="63"/>
      <c r="G455" s="63"/>
      <c r="H455" s="63"/>
      <c r="I455" s="63">
        <v>492037.06</v>
      </c>
      <c r="J455" s="63">
        <v>0</v>
      </c>
      <c r="K455" s="63"/>
      <c r="L455" s="63"/>
      <c r="M455" s="63">
        <v>0</v>
      </c>
      <c r="N455" s="63">
        <v>0</v>
      </c>
      <c r="O455" s="63">
        <v>0</v>
      </c>
      <c r="P455" s="63">
        <v>0</v>
      </c>
      <c r="Q455" s="63">
        <v>0</v>
      </c>
      <c r="R455" s="63"/>
      <c r="S455" s="63"/>
      <c r="T455" s="64">
        <v>34341.239468510197</v>
      </c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</row>
    <row r="456" spans="1:70" x14ac:dyDescent="0.25">
      <c r="A456" s="193">
        <f t="shared" si="47"/>
        <v>435</v>
      </c>
      <c r="B456" s="107">
        <v>222</v>
      </c>
      <c r="C456" s="53" t="s">
        <v>397</v>
      </c>
      <c r="D456" s="107" t="s">
        <v>492</v>
      </c>
      <c r="E456" s="62">
        <f t="shared" si="50"/>
        <v>466454.1786358984</v>
      </c>
      <c r="F456" s="63"/>
      <c r="G456" s="63"/>
      <c r="H456" s="63"/>
      <c r="I456" s="63">
        <v>422534</v>
      </c>
      <c r="J456" s="63">
        <v>0</v>
      </c>
      <c r="K456" s="63"/>
      <c r="L456" s="63"/>
      <c r="M456" s="63">
        <v>0</v>
      </c>
      <c r="N456" s="63">
        <v>0</v>
      </c>
      <c r="O456" s="63">
        <v>0</v>
      </c>
      <c r="P456" s="63">
        <v>0</v>
      </c>
      <c r="Q456" s="63">
        <v>0</v>
      </c>
      <c r="R456" s="63"/>
      <c r="S456" s="63"/>
      <c r="T456" s="64">
        <v>43920.178635898403</v>
      </c>
      <c r="U456" s="205"/>
    </row>
    <row r="457" spans="1:70" x14ac:dyDescent="0.25">
      <c r="A457" s="193">
        <f t="shared" si="47"/>
        <v>436</v>
      </c>
      <c r="B457" s="107">
        <v>223</v>
      </c>
      <c r="C457" s="53" t="s">
        <v>397</v>
      </c>
      <c r="D457" s="107" t="s">
        <v>493</v>
      </c>
      <c r="E457" s="62">
        <f t="shared" si="50"/>
        <v>616864.42040996312</v>
      </c>
      <c r="F457" s="63">
        <v>0</v>
      </c>
      <c r="G457" s="63">
        <v>0</v>
      </c>
      <c r="H457" s="63"/>
      <c r="I457" s="63">
        <v>548136.26</v>
      </c>
      <c r="J457" s="63">
        <v>0</v>
      </c>
      <c r="K457" s="63"/>
      <c r="L457" s="63"/>
      <c r="M457" s="63">
        <v>0</v>
      </c>
      <c r="N457" s="63">
        <v>0</v>
      </c>
      <c r="O457" s="63">
        <v>0</v>
      </c>
      <c r="P457" s="63">
        <v>0</v>
      </c>
      <c r="Q457" s="63">
        <v>0</v>
      </c>
      <c r="R457" s="63"/>
      <c r="S457" s="63"/>
      <c r="T457" s="64">
        <v>68728.160409963093</v>
      </c>
      <c r="U457" s="205"/>
    </row>
    <row r="458" spans="1:70" x14ac:dyDescent="0.25">
      <c r="A458" s="193">
        <f t="shared" si="47"/>
        <v>437</v>
      </c>
      <c r="B458" s="107" t="s">
        <v>455</v>
      </c>
      <c r="C458" s="53" t="s">
        <v>214</v>
      </c>
      <c r="D458" s="107" t="s">
        <v>215</v>
      </c>
      <c r="E458" s="62">
        <f t="shared" si="50"/>
        <v>26033057.127377328</v>
      </c>
      <c r="F458" s="63"/>
      <c r="G458" s="63"/>
      <c r="H458" s="63"/>
      <c r="I458" s="63"/>
      <c r="J458" s="63">
        <v>0</v>
      </c>
      <c r="K458" s="63"/>
      <c r="L458" s="63"/>
      <c r="M458" s="63">
        <v>0</v>
      </c>
      <c r="N458" s="63"/>
      <c r="O458" s="63">
        <v>0</v>
      </c>
      <c r="P458" s="63">
        <v>25027038.059999999</v>
      </c>
      <c r="Q458" s="63"/>
      <c r="R458" s="63"/>
      <c r="S458" s="63"/>
      <c r="T458" s="64">
        <v>1006019.06737733</v>
      </c>
      <c r="U458" s="205"/>
    </row>
    <row r="459" spans="1:70" x14ac:dyDescent="0.25">
      <c r="A459" s="193">
        <f t="shared" si="47"/>
        <v>438</v>
      </c>
      <c r="B459" s="107" t="s">
        <v>455</v>
      </c>
      <c r="C459" s="53" t="s">
        <v>224</v>
      </c>
      <c r="D459" s="107" t="s">
        <v>417</v>
      </c>
      <c r="E459" s="110">
        <f t="shared" si="50"/>
        <v>96811446.793740585</v>
      </c>
      <c r="F459" s="63"/>
      <c r="G459" s="63"/>
      <c r="H459" s="63"/>
      <c r="I459" s="63"/>
      <c r="J459" s="63">
        <v>0</v>
      </c>
      <c r="K459" s="63"/>
      <c r="L459" s="63"/>
      <c r="M459" s="63"/>
      <c r="N459" s="63">
        <v>0</v>
      </c>
      <c r="O459" s="63">
        <v>0</v>
      </c>
      <c r="P459" s="63">
        <v>93307087.400000006</v>
      </c>
      <c r="Q459" s="63">
        <v>0</v>
      </c>
      <c r="R459" s="63">
        <v>579968.09</v>
      </c>
      <c r="S459" s="63">
        <v>10000</v>
      </c>
      <c r="T459" s="64">
        <v>2914391.3037405801</v>
      </c>
      <c r="U459" s="205"/>
      <c r="V459" s="136"/>
    </row>
    <row r="460" spans="1:70" x14ac:dyDescent="0.25">
      <c r="A460" s="193">
        <f t="shared" si="47"/>
        <v>439</v>
      </c>
      <c r="B460" s="107">
        <v>224</v>
      </c>
      <c r="C460" s="53" t="s">
        <v>224</v>
      </c>
      <c r="D460" s="107" t="s">
        <v>227</v>
      </c>
      <c r="E460" s="62">
        <f t="shared" si="50"/>
        <v>8113561.5209272001</v>
      </c>
      <c r="F460" s="63"/>
      <c r="G460" s="63"/>
      <c r="H460" s="63"/>
      <c r="I460" s="63">
        <v>5271196.8600000003</v>
      </c>
      <c r="J460" s="63">
        <v>0</v>
      </c>
      <c r="K460" s="63"/>
      <c r="L460" s="63"/>
      <c r="M460" s="63">
        <v>0</v>
      </c>
      <c r="N460" s="63"/>
      <c r="O460" s="63">
        <v>0</v>
      </c>
      <c r="P460" s="63"/>
      <c r="Q460" s="63"/>
      <c r="R460" s="63"/>
      <c r="S460" s="63"/>
      <c r="T460" s="64">
        <v>2842364.6609272002</v>
      </c>
      <c r="U460" s="205"/>
    </row>
    <row r="461" spans="1:70" x14ac:dyDescent="0.25">
      <c r="A461" s="193">
        <f t="shared" si="47"/>
        <v>440</v>
      </c>
      <c r="B461" s="107">
        <v>225</v>
      </c>
      <c r="C461" s="53" t="s">
        <v>224</v>
      </c>
      <c r="D461" s="53" t="s">
        <v>494</v>
      </c>
      <c r="E461" s="110">
        <f t="shared" si="50"/>
        <v>18526577.097199999</v>
      </c>
      <c r="F461" s="55"/>
      <c r="G461" s="55"/>
      <c r="H461" s="55"/>
      <c r="I461" s="55"/>
      <c r="J461" s="55"/>
      <c r="K461" s="55"/>
      <c r="L461" s="55"/>
      <c r="M461" s="55">
        <v>16975058.390000001</v>
      </c>
      <c r="N461" s="55"/>
      <c r="O461" s="55"/>
      <c r="P461" s="55"/>
      <c r="Q461" s="63"/>
      <c r="R461" s="63">
        <v>768789</v>
      </c>
      <c r="S461" s="63">
        <v>256263</v>
      </c>
      <c r="T461" s="64">
        <v>526466.70719999995</v>
      </c>
      <c r="U461" s="205"/>
    </row>
    <row r="462" spans="1:70" x14ac:dyDescent="0.25">
      <c r="A462" s="193">
        <f t="shared" si="47"/>
        <v>441</v>
      </c>
      <c r="B462" s="107">
        <v>226</v>
      </c>
      <c r="C462" s="53" t="s">
        <v>224</v>
      </c>
      <c r="D462" s="107" t="s">
        <v>495</v>
      </c>
      <c r="E462" s="62">
        <f t="shared" si="50"/>
        <v>14437524.42279716</v>
      </c>
      <c r="F462" s="63">
        <v>6125064</v>
      </c>
      <c r="G462" s="63">
        <v>2367725.5699999998</v>
      </c>
      <c r="H462" s="63"/>
      <c r="I462" s="63"/>
      <c r="J462" s="63">
        <v>0</v>
      </c>
      <c r="K462" s="63"/>
      <c r="L462" s="63"/>
      <c r="M462" s="63">
        <v>0</v>
      </c>
      <c r="N462" s="63">
        <v>5431079.9800000004</v>
      </c>
      <c r="O462" s="63">
        <v>0</v>
      </c>
      <c r="P462" s="63">
        <v>0</v>
      </c>
      <c r="Q462" s="63">
        <v>0</v>
      </c>
      <c r="R462" s="63"/>
      <c r="S462" s="63"/>
      <c r="T462" s="64">
        <v>513654.87279716</v>
      </c>
      <c r="U462" s="205"/>
    </row>
    <row r="463" spans="1:70" x14ac:dyDescent="0.25">
      <c r="A463" s="193">
        <f t="shared" si="47"/>
        <v>442</v>
      </c>
      <c r="B463" s="107" t="s">
        <v>455</v>
      </c>
      <c r="C463" s="53" t="s">
        <v>224</v>
      </c>
      <c r="D463" s="107" t="s">
        <v>418</v>
      </c>
      <c r="E463" s="62">
        <f t="shared" si="50"/>
        <v>3022117.4789919998</v>
      </c>
      <c r="F463" s="63"/>
      <c r="G463" s="63"/>
      <c r="H463" s="63"/>
      <c r="I463" s="63"/>
      <c r="J463" s="63">
        <v>0</v>
      </c>
      <c r="K463" s="63"/>
      <c r="L463" s="63"/>
      <c r="M463" s="63">
        <v>0</v>
      </c>
      <c r="N463" s="63">
        <v>2593578.2999999998</v>
      </c>
      <c r="O463" s="63">
        <v>0</v>
      </c>
      <c r="P463" s="63">
        <v>0</v>
      </c>
      <c r="Q463" s="63"/>
      <c r="R463" s="63"/>
      <c r="S463" s="63"/>
      <c r="T463" s="64">
        <v>428539.178992</v>
      </c>
      <c r="U463" s="205"/>
    </row>
    <row r="464" spans="1:70" x14ac:dyDescent="0.25">
      <c r="A464" s="193">
        <f t="shared" si="47"/>
        <v>443</v>
      </c>
      <c r="B464" s="107" t="s">
        <v>455</v>
      </c>
      <c r="C464" s="53" t="s">
        <v>224</v>
      </c>
      <c r="D464" s="107" t="s">
        <v>419</v>
      </c>
      <c r="E464" s="62">
        <f t="shared" si="50"/>
        <v>11186528.16468196</v>
      </c>
      <c r="F464" s="63">
        <v>5809151.5899999999</v>
      </c>
      <c r="G464" s="63">
        <v>5068716.41</v>
      </c>
      <c r="H464" s="63"/>
      <c r="I464" s="63"/>
      <c r="J464" s="63"/>
      <c r="K464" s="63"/>
      <c r="L464" s="63"/>
      <c r="M464" s="63">
        <v>0</v>
      </c>
      <c r="N464" s="63"/>
      <c r="O464" s="63">
        <v>0</v>
      </c>
      <c r="P464" s="63"/>
      <c r="R464" s="63"/>
      <c r="S464" s="63"/>
      <c r="T464" s="64">
        <v>308660.16468196001</v>
      </c>
      <c r="U464" s="205"/>
    </row>
    <row r="465" spans="1:22" x14ac:dyDescent="0.25">
      <c r="A465" s="193">
        <f t="shared" si="47"/>
        <v>444</v>
      </c>
      <c r="B465" s="107">
        <v>227</v>
      </c>
      <c r="C465" s="53" t="s">
        <v>224</v>
      </c>
      <c r="D465" s="107" t="s">
        <v>496</v>
      </c>
      <c r="E465" s="62">
        <f t="shared" si="50"/>
        <v>13981232.051186441</v>
      </c>
      <c r="F465" s="63"/>
      <c r="G465" s="63"/>
      <c r="H465" s="63"/>
      <c r="I465" s="63"/>
      <c r="J465" s="63"/>
      <c r="K465" s="63"/>
      <c r="L465" s="63"/>
      <c r="M465" s="63"/>
      <c r="N465" s="63">
        <v>0</v>
      </c>
      <c r="O465" s="63">
        <v>0</v>
      </c>
      <c r="P465" s="63">
        <v>13459169.380000001</v>
      </c>
      <c r="Q465" s="63"/>
      <c r="R465" s="63"/>
      <c r="S465" s="63"/>
      <c r="T465" s="64">
        <v>522062.67118643998</v>
      </c>
      <c r="U465" s="205"/>
    </row>
    <row r="466" spans="1:22" x14ac:dyDescent="0.25">
      <c r="A466" s="193">
        <f t="shared" si="47"/>
        <v>445</v>
      </c>
      <c r="B466" s="107">
        <v>228</v>
      </c>
      <c r="C466" s="53" t="s">
        <v>224</v>
      </c>
      <c r="D466" s="107" t="s">
        <v>243</v>
      </c>
      <c r="E466" s="62">
        <f t="shared" si="50"/>
        <v>11439719.945821799</v>
      </c>
      <c r="F466" s="63">
        <v>11006074.42</v>
      </c>
      <c r="G466" s="63"/>
      <c r="H466" s="63"/>
      <c r="I466" s="63"/>
      <c r="J466" s="63">
        <v>0</v>
      </c>
      <c r="K466" s="63"/>
      <c r="L466" s="63"/>
      <c r="M466" s="63">
        <v>0</v>
      </c>
      <c r="N466" s="63">
        <v>0</v>
      </c>
      <c r="O466" s="63">
        <v>0</v>
      </c>
      <c r="P466" s="63">
        <v>0</v>
      </c>
      <c r="Q466" s="63">
        <v>0</v>
      </c>
      <c r="R466" s="63"/>
      <c r="S466" s="63"/>
      <c r="T466" s="64">
        <v>433645.52582179999</v>
      </c>
      <c r="U466" s="205"/>
    </row>
    <row r="467" spans="1:22" x14ac:dyDescent="0.25">
      <c r="A467" s="193">
        <f t="shared" si="47"/>
        <v>446</v>
      </c>
      <c r="B467" s="107" t="s">
        <v>455</v>
      </c>
      <c r="C467" s="53" t="s">
        <v>224</v>
      </c>
      <c r="D467" s="107" t="s">
        <v>242</v>
      </c>
      <c r="E467" s="62">
        <f t="shared" si="50"/>
        <v>9801757.47417932</v>
      </c>
      <c r="F467" s="63"/>
      <c r="G467" s="63"/>
      <c r="H467" s="63"/>
      <c r="I467" s="63"/>
      <c r="J467" s="63"/>
      <c r="K467" s="63"/>
      <c r="L467" s="63"/>
      <c r="M467" s="63">
        <v>0</v>
      </c>
      <c r="N467" s="63">
        <v>0</v>
      </c>
      <c r="O467" s="63">
        <v>0</v>
      </c>
      <c r="P467" s="63">
        <v>9226685.7799999993</v>
      </c>
      <c r="Q467" s="63"/>
      <c r="R467" s="63"/>
      <c r="S467" s="63"/>
      <c r="T467" s="64">
        <v>575071.69417932001</v>
      </c>
      <c r="U467" s="205"/>
      <c r="V467" s="136"/>
    </row>
    <row r="468" spans="1:22" x14ac:dyDescent="0.25">
      <c r="A468" s="193">
        <f t="shared" si="47"/>
        <v>447</v>
      </c>
      <c r="B468" s="107" t="s">
        <v>455</v>
      </c>
      <c r="C468" s="53" t="s">
        <v>244</v>
      </c>
      <c r="D468" s="107" t="s">
        <v>420</v>
      </c>
      <c r="E468" s="62">
        <f t="shared" si="50"/>
        <v>18745283.327202197</v>
      </c>
      <c r="F468" s="63">
        <v>13314058.640000001</v>
      </c>
      <c r="G468" s="63">
        <v>4516840.08</v>
      </c>
      <c r="H468" s="63">
        <v>0</v>
      </c>
      <c r="I468" s="63">
        <v>0</v>
      </c>
      <c r="J468" s="63">
        <v>0</v>
      </c>
      <c r="K468" s="63"/>
      <c r="L468" s="63"/>
      <c r="M468" s="63">
        <v>0</v>
      </c>
      <c r="N468" s="63"/>
      <c r="O468" s="63">
        <v>0</v>
      </c>
      <c r="P468" s="63">
        <v>0</v>
      </c>
      <c r="Q468" s="63">
        <v>0</v>
      </c>
      <c r="R468" s="63"/>
      <c r="S468" s="63"/>
      <c r="T468" s="64">
        <v>914384.60720219999</v>
      </c>
      <c r="U468" s="205"/>
    </row>
    <row r="469" spans="1:22" x14ac:dyDescent="0.25">
      <c r="A469" s="193">
        <f t="shared" si="47"/>
        <v>448</v>
      </c>
      <c r="B469" s="107">
        <v>229</v>
      </c>
      <c r="C469" s="53" t="s">
        <v>244</v>
      </c>
      <c r="D469" s="107" t="s">
        <v>247</v>
      </c>
      <c r="E469" s="62">
        <f t="shared" si="50"/>
        <v>15266485.815930519</v>
      </c>
      <c r="F469" s="63">
        <v>10307046.52</v>
      </c>
      <c r="G469" s="63">
        <v>4037081.56</v>
      </c>
      <c r="H469" s="63">
        <v>0</v>
      </c>
      <c r="I469" s="63">
        <v>0</v>
      </c>
      <c r="J469" s="63">
        <v>0</v>
      </c>
      <c r="K469" s="63"/>
      <c r="L469" s="63"/>
      <c r="M469" s="63">
        <v>0</v>
      </c>
      <c r="N469" s="63"/>
      <c r="O469" s="63">
        <v>0</v>
      </c>
      <c r="P469" s="63">
        <v>0</v>
      </c>
      <c r="Q469" s="63">
        <v>0</v>
      </c>
      <c r="R469" s="63"/>
      <c r="S469" s="63"/>
      <c r="T469" s="64">
        <v>922357.73593051999</v>
      </c>
      <c r="U469" s="205"/>
    </row>
    <row r="470" spans="1:22" x14ac:dyDescent="0.25">
      <c r="A470" s="193">
        <f t="shared" si="47"/>
        <v>449</v>
      </c>
      <c r="B470" s="107">
        <f t="shared" ref="B470:B480" si="51">+B469+1</f>
        <v>230</v>
      </c>
      <c r="C470" s="53" t="s">
        <v>250</v>
      </c>
      <c r="D470" s="53" t="s">
        <v>251</v>
      </c>
      <c r="E470" s="62">
        <f t="shared" si="50"/>
        <v>455713.71976381249</v>
      </c>
      <c r="F470" s="55"/>
      <c r="G470" s="63"/>
      <c r="H470" s="63"/>
      <c r="I470" s="63">
        <v>366422.22</v>
      </c>
      <c r="J470" s="63">
        <v>0</v>
      </c>
      <c r="K470" s="63"/>
      <c r="L470" s="63"/>
      <c r="M470" s="63">
        <v>0</v>
      </c>
      <c r="N470" s="63"/>
      <c r="O470" s="63"/>
      <c r="P470" s="63"/>
      <c r="Q470" s="63"/>
      <c r="R470" s="63"/>
      <c r="S470" s="63"/>
      <c r="T470" s="64">
        <v>89291.499763812506</v>
      </c>
      <c r="U470" s="205"/>
    </row>
    <row r="471" spans="1:22" x14ac:dyDescent="0.25">
      <c r="A471" s="193">
        <f t="shared" si="47"/>
        <v>450</v>
      </c>
      <c r="B471" s="107">
        <f t="shared" si="51"/>
        <v>231</v>
      </c>
      <c r="C471" s="53" t="s">
        <v>250</v>
      </c>
      <c r="D471" s="53" t="s">
        <v>253</v>
      </c>
      <c r="E471" s="62">
        <f t="shared" si="50"/>
        <v>4810437.1517803604</v>
      </c>
      <c r="F471" s="55">
        <v>0</v>
      </c>
      <c r="G471" s="63">
        <v>0</v>
      </c>
      <c r="H471" s="63"/>
      <c r="I471" s="63"/>
      <c r="J471" s="63">
        <v>0</v>
      </c>
      <c r="K471" s="63"/>
      <c r="L471" s="63"/>
      <c r="M471" s="63">
        <v>0</v>
      </c>
      <c r="N471" s="63">
        <v>3803871.23</v>
      </c>
      <c r="O471" s="63">
        <v>0</v>
      </c>
      <c r="P471" s="63">
        <v>0</v>
      </c>
      <c r="Q471" s="63"/>
      <c r="R471" s="63"/>
      <c r="S471" s="63"/>
      <c r="T471" s="64">
        <v>1006565.92178036</v>
      </c>
      <c r="U471" s="205"/>
    </row>
    <row r="472" spans="1:22" x14ac:dyDescent="0.25">
      <c r="A472" s="193">
        <f t="shared" si="47"/>
        <v>451</v>
      </c>
      <c r="B472" s="107">
        <f t="shared" si="51"/>
        <v>232</v>
      </c>
      <c r="C472" s="53" t="s">
        <v>250</v>
      </c>
      <c r="D472" s="53" t="s">
        <v>497</v>
      </c>
      <c r="E472" s="62">
        <f t="shared" si="50"/>
        <v>4815984.0666748397</v>
      </c>
      <c r="F472" s="55">
        <v>0</v>
      </c>
      <c r="G472" s="63">
        <v>0</v>
      </c>
      <c r="H472" s="63"/>
      <c r="I472" s="63">
        <v>1099685.3899999999</v>
      </c>
      <c r="J472" s="63">
        <v>0</v>
      </c>
      <c r="K472" s="63"/>
      <c r="L472" s="63"/>
      <c r="M472" s="63">
        <v>0</v>
      </c>
      <c r="N472" s="63">
        <v>3088603.2</v>
      </c>
      <c r="O472" s="63">
        <v>0</v>
      </c>
      <c r="P472" s="63"/>
      <c r="Q472" s="63"/>
      <c r="R472" s="63"/>
      <c r="S472" s="63"/>
      <c r="T472" s="64">
        <v>627695.47667483997</v>
      </c>
      <c r="U472" s="205"/>
    </row>
    <row r="473" spans="1:22" x14ac:dyDescent="0.25">
      <c r="A473" s="193">
        <f t="shared" si="47"/>
        <v>452</v>
      </c>
      <c r="B473" s="107">
        <f t="shared" si="51"/>
        <v>233</v>
      </c>
      <c r="C473" s="53" t="s">
        <v>250</v>
      </c>
      <c r="D473" s="53" t="s">
        <v>252</v>
      </c>
      <c r="E473" s="62">
        <f t="shared" si="50"/>
        <v>4552805.2775841793</v>
      </c>
      <c r="F473" s="55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>
        <v>4320197.0199999996</v>
      </c>
      <c r="R473" s="63"/>
      <c r="S473" s="63"/>
      <c r="T473" s="64">
        <v>232608.25758418001</v>
      </c>
      <c r="U473" s="205"/>
    </row>
    <row r="474" spans="1:22" x14ac:dyDescent="0.25">
      <c r="A474" s="193">
        <f t="shared" si="47"/>
        <v>453</v>
      </c>
      <c r="B474" s="107">
        <f t="shared" si="51"/>
        <v>234</v>
      </c>
      <c r="C474" s="53" t="s">
        <v>250</v>
      </c>
      <c r="D474" s="53" t="s">
        <v>498</v>
      </c>
      <c r="E474" s="62">
        <f t="shared" si="50"/>
        <v>3493718.5665682643</v>
      </c>
      <c r="F474" s="55"/>
      <c r="G474" s="63"/>
      <c r="H474" s="63"/>
      <c r="I474" s="63">
        <v>0</v>
      </c>
      <c r="J474" s="63">
        <v>0</v>
      </c>
      <c r="K474" s="63"/>
      <c r="L474" s="63"/>
      <c r="M474" s="63">
        <v>0</v>
      </c>
      <c r="N474" s="63">
        <v>0</v>
      </c>
      <c r="O474" s="63">
        <v>0</v>
      </c>
      <c r="P474" s="63">
        <v>0</v>
      </c>
      <c r="Q474" s="63">
        <v>3298923.58</v>
      </c>
      <c r="R474" s="63"/>
      <c r="S474" s="63"/>
      <c r="T474" s="64">
        <v>194794.98656826399</v>
      </c>
      <c r="U474" s="205"/>
    </row>
    <row r="475" spans="1:22" x14ac:dyDescent="0.25">
      <c r="A475" s="193">
        <f t="shared" si="47"/>
        <v>454</v>
      </c>
      <c r="B475" s="107">
        <f t="shared" si="51"/>
        <v>235</v>
      </c>
      <c r="C475" s="53" t="s">
        <v>250</v>
      </c>
      <c r="D475" s="53" t="s">
        <v>499</v>
      </c>
      <c r="E475" s="62">
        <f t="shared" si="50"/>
        <v>3316138.1383751379</v>
      </c>
      <c r="F475" s="55"/>
      <c r="G475" s="63"/>
      <c r="H475" s="63"/>
      <c r="I475" s="63">
        <v>316550.13</v>
      </c>
      <c r="J475" s="63">
        <v>0</v>
      </c>
      <c r="K475" s="63"/>
      <c r="L475" s="63"/>
      <c r="M475" s="63">
        <v>0</v>
      </c>
      <c r="N475" s="63">
        <v>0</v>
      </c>
      <c r="O475" s="63">
        <v>0</v>
      </c>
      <c r="P475" s="63">
        <v>0</v>
      </c>
      <c r="Q475" s="63">
        <v>2842386.57</v>
      </c>
      <c r="R475" s="63"/>
      <c r="S475" s="63"/>
      <c r="T475" s="64">
        <v>157201.43837513801</v>
      </c>
      <c r="U475" s="205"/>
    </row>
    <row r="476" spans="1:22" x14ac:dyDescent="0.25">
      <c r="A476" s="193">
        <f t="shared" si="47"/>
        <v>455</v>
      </c>
      <c r="B476" s="107">
        <f t="shared" si="51"/>
        <v>236</v>
      </c>
      <c r="C476" s="53" t="s">
        <v>250</v>
      </c>
      <c r="D476" s="53" t="s">
        <v>500</v>
      </c>
      <c r="E476" s="62">
        <f t="shared" si="50"/>
        <v>5596377.5313446335</v>
      </c>
      <c r="F476" s="55">
        <v>0</v>
      </c>
      <c r="G476" s="63">
        <v>0</v>
      </c>
      <c r="H476" s="63">
        <v>0</v>
      </c>
      <c r="I476" s="63">
        <v>0</v>
      </c>
      <c r="J476" s="63">
        <v>0</v>
      </c>
      <c r="K476" s="63"/>
      <c r="L476" s="63"/>
      <c r="M476" s="63">
        <v>0</v>
      </c>
      <c r="N476" s="63">
        <v>0</v>
      </c>
      <c r="O476" s="63">
        <v>0</v>
      </c>
      <c r="P476" s="63">
        <v>5454094.2599999998</v>
      </c>
      <c r="Q476" s="63"/>
      <c r="R476" s="63"/>
      <c r="S476" s="63"/>
      <c r="T476" s="64">
        <v>142283.27134463401</v>
      </c>
      <c r="U476" s="205"/>
    </row>
    <row r="477" spans="1:22" x14ac:dyDescent="0.25">
      <c r="A477" s="193">
        <f t="shared" si="47"/>
        <v>456</v>
      </c>
      <c r="B477" s="107">
        <f t="shared" si="51"/>
        <v>237</v>
      </c>
      <c r="C477" s="53" t="s">
        <v>421</v>
      </c>
      <c r="D477" s="107" t="s">
        <v>501</v>
      </c>
      <c r="E477" s="62">
        <f t="shared" si="50"/>
        <v>5958591.1624260005</v>
      </c>
      <c r="F477" s="63"/>
      <c r="G477" s="63"/>
      <c r="H477" s="63">
        <v>0</v>
      </c>
      <c r="I477" s="63">
        <v>0</v>
      </c>
      <c r="J477" s="63">
        <v>0</v>
      </c>
      <c r="K477" s="63"/>
      <c r="L477" s="63"/>
      <c r="M477" s="63">
        <v>0</v>
      </c>
      <c r="N477" s="63">
        <v>5770612.3300000001</v>
      </c>
      <c r="O477" s="63">
        <v>0</v>
      </c>
      <c r="P477" s="63">
        <v>0</v>
      </c>
      <c r="Q477" s="63">
        <v>0</v>
      </c>
      <c r="R477" s="63"/>
      <c r="S477" s="63"/>
      <c r="T477" s="64">
        <v>187978.83242600001</v>
      </c>
      <c r="U477" s="205"/>
    </row>
    <row r="478" spans="1:22" x14ac:dyDescent="0.25">
      <c r="A478" s="193">
        <f t="shared" si="47"/>
        <v>457</v>
      </c>
      <c r="B478" s="107">
        <f t="shared" si="51"/>
        <v>238</v>
      </c>
      <c r="C478" s="53" t="s">
        <v>421</v>
      </c>
      <c r="D478" s="107" t="s">
        <v>502</v>
      </c>
      <c r="E478" s="62">
        <f t="shared" si="50"/>
        <v>7554537.6979660001</v>
      </c>
      <c r="F478" s="63">
        <v>0</v>
      </c>
      <c r="G478" s="63">
        <v>0</v>
      </c>
      <c r="H478" s="63">
        <v>0</v>
      </c>
      <c r="I478" s="63">
        <v>0</v>
      </c>
      <c r="J478" s="63">
        <v>0</v>
      </c>
      <c r="K478" s="63"/>
      <c r="L478" s="63"/>
      <c r="M478" s="63">
        <v>0</v>
      </c>
      <c r="N478" s="63">
        <v>7256814.7199999997</v>
      </c>
      <c r="O478" s="63">
        <v>0</v>
      </c>
      <c r="P478" s="63"/>
      <c r="Q478" s="63">
        <v>0</v>
      </c>
      <c r="R478" s="63"/>
      <c r="S478" s="63"/>
      <c r="T478" s="64">
        <v>297722.97796599998</v>
      </c>
      <c r="U478" s="205"/>
    </row>
    <row r="479" spans="1:22" x14ac:dyDescent="0.25">
      <c r="A479" s="193">
        <f t="shared" si="47"/>
        <v>458</v>
      </c>
      <c r="B479" s="107">
        <f t="shared" si="51"/>
        <v>239</v>
      </c>
      <c r="C479" s="53" t="s">
        <v>276</v>
      </c>
      <c r="D479" s="53" t="s">
        <v>503</v>
      </c>
      <c r="E479" s="62">
        <f t="shared" si="50"/>
        <v>6566728.0555262603</v>
      </c>
      <c r="F479" s="55">
        <v>0</v>
      </c>
      <c r="G479" s="63">
        <v>0</v>
      </c>
      <c r="H479" s="63">
        <v>0</v>
      </c>
      <c r="I479" s="63">
        <v>0</v>
      </c>
      <c r="J479" s="63">
        <v>0</v>
      </c>
      <c r="K479" s="63"/>
      <c r="L479" s="63"/>
      <c r="M479" s="63">
        <v>0</v>
      </c>
      <c r="N479" s="63">
        <v>0</v>
      </c>
      <c r="O479" s="63">
        <v>0</v>
      </c>
      <c r="P479" s="63">
        <v>0</v>
      </c>
      <c r="Q479" s="63">
        <v>6397046.1500000004</v>
      </c>
      <c r="R479" s="63"/>
      <c r="S479" s="63"/>
      <c r="T479" s="64">
        <v>169681.90552626</v>
      </c>
      <c r="U479" s="205"/>
    </row>
    <row r="480" spans="1:22" x14ac:dyDescent="0.25">
      <c r="A480" s="193">
        <f t="shared" si="47"/>
        <v>459</v>
      </c>
      <c r="B480" s="107">
        <f t="shared" si="51"/>
        <v>240</v>
      </c>
      <c r="C480" s="53" t="s">
        <v>279</v>
      </c>
      <c r="D480" s="107" t="s">
        <v>504</v>
      </c>
      <c r="E480" s="62">
        <f t="shared" si="50"/>
        <v>9518715.5500000007</v>
      </c>
      <c r="F480" s="63">
        <v>0</v>
      </c>
      <c r="G480" s="63">
        <v>0</v>
      </c>
      <c r="H480" s="63">
        <v>0</v>
      </c>
      <c r="I480" s="63">
        <v>0</v>
      </c>
      <c r="J480" s="63">
        <v>0</v>
      </c>
      <c r="K480" s="63"/>
      <c r="L480" s="63"/>
      <c r="M480" s="63">
        <v>0</v>
      </c>
      <c r="N480" s="63">
        <v>0</v>
      </c>
      <c r="O480" s="63">
        <v>0</v>
      </c>
      <c r="P480" s="63">
        <v>7030996.7999999998</v>
      </c>
      <c r="Q480" s="63">
        <v>2326332.02</v>
      </c>
      <c r="R480" s="63"/>
      <c r="S480" s="63"/>
      <c r="T480" s="64">
        <v>161386.73000000001</v>
      </c>
      <c r="U480" s="205"/>
    </row>
    <row r="481" spans="1:70" s="82" customFormat="1" ht="21" customHeight="1" x14ac:dyDescent="0.25">
      <c r="A481" s="208"/>
      <c r="B481" s="209"/>
      <c r="C481" s="209"/>
      <c r="D481" s="210">
        <v>2024</v>
      </c>
      <c r="E481" s="84">
        <f>SUM(F481:T481)</f>
        <v>4216098424.7262607</v>
      </c>
      <c r="F481" s="84">
        <f t="shared" ref="F481:T481" si="52">SUM(F482:F851)</f>
        <v>856094957.77738011</v>
      </c>
      <c r="G481" s="84">
        <f t="shared" si="52"/>
        <v>292833805.15980905</v>
      </c>
      <c r="H481" s="84">
        <f t="shared" si="52"/>
        <v>344966673.36974859</v>
      </c>
      <c r="I481" s="84">
        <f t="shared" si="52"/>
        <v>204396654.08679932</v>
      </c>
      <c r="J481" s="84">
        <f t="shared" si="52"/>
        <v>73322153.221411452</v>
      </c>
      <c r="K481" s="84">
        <f t="shared" si="52"/>
        <v>0</v>
      </c>
      <c r="L481" s="84">
        <f t="shared" si="52"/>
        <v>32475238.204570375</v>
      </c>
      <c r="M481" s="84">
        <f t="shared" si="52"/>
        <v>232253218.94643283</v>
      </c>
      <c r="N481" s="84">
        <f t="shared" si="52"/>
        <v>550969385.94919419</v>
      </c>
      <c r="O481" s="84">
        <f t="shared" si="52"/>
        <v>143695621.85251537</v>
      </c>
      <c r="P481" s="84">
        <f t="shared" si="52"/>
        <v>1069003855.1814898</v>
      </c>
      <c r="Q481" s="84">
        <f t="shared" si="52"/>
        <v>248520474.71143308</v>
      </c>
      <c r="R481" s="84">
        <f t="shared" si="52"/>
        <v>36517582.093012132</v>
      </c>
      <c r="S481" s="84">
        <f t="shared" si="52"/>
        <v>4297094.2127347225</v>
      </c>
      <c r="T481" s="211">
        <f t="shared" si="52"/>
        <v>126751709.95972955</v>
      </c>
      <c r="U481" s="205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</row>
    <row r="482" spans="1:70" s="69" customFormat="1" x14ac:dyDescent="0.25">
      <c r="A482" s="193">
        <v>460</v>
      </c>
      <c r="B482" s="107">
        <f t="shared" ref="B482:B513" si="53">+B481+1</f>
        <v>1</v>
      </c>
      <c r="C482" s="53" t="s">
        <v>299</v>
      </c>
      <c r="D482" s="107" t="s">
        <v>505</v>
      </c>
      <c r="E482" s="62">
        <f t="shared" ref="E482:E545" si="54">SUBTOTAL(9, F482:T482)</f>
        <v>12813150</v>
      </c>
      <c r="F482" s="55">
        <v>0</v>
      </c>
      <c r="G482" s="63">
        <v>0</v>
      </c>
      <c r="H482" s="63">
        <v>0</v>
      </c>
      <c r="I482" s="55">
        <v>0</v>
      </c>
      <c r="J482" s="63"/>
      <c r="K482" s="63">
        <v>0</v>
      </c>
      <c r="L482" s="55"/>
      <c r="M482" s="63">
        <v>12037390.646400001</v>
      </c>
      <c r="N482" s="63">
        <v>0</v>
      </c>
      <c r="O482" s="55">
        <v>0</v>
      </c>
      <c r="P482" s="63">
        <v>0</v>
      </c>
      <c r="Q482" s="63">
        <v>0</v>
      </c>
      <c r="R482" s="63">
        <v>384394.5</v>
      </c>
      <c r="S482" s="63">
        <v>128131.5</v>
      </c>
      <c r="T482" s="64">
        <v>263233.35359999997</v>
      </c>
      <c r="U482" s="205"/>
    </row>
    <row r="483" spans="1:70" x14ac:dyDescent="0.25">
      <c r="A483" s="193">
        <f t="shared" ref="A483:A546" si="55">+A482+1</f>
        <v>461</v>
      </c>
      <c r="B483" s="107">
        <f t="shared" si="53"/>
        <v>2</v>
      </c>
      <c r="C483" s="53" t="s">
        <v>299</v>
      </c>
      <c r="D483" s="107" t="s">
        <v>507</v>
      </c>
      <c r="E483" s="62">
        <f t="shared" si="54"/>
        <v>14720955.054879829</v>
      </c>
      <c r="F483" s="55">
        <v>0</v>
      </c>
      <c r="G483" s="63">
        <v>0</v>
      </c>
      <c r="H483" s="63">
        <v>0</v>
      </c>
      <c r="I483" s="55">
        <v>0</v>
      </c>
      <c r="J483" s="63">
        <v>0</v>
      </c>
      <c r="K483" s="63"/>
      <c r="L483" s="55"/>
      <c r="M483" s="63">
        <v>0</v>
      </c>
      <c r="N483" s="63">
        <v>0</v>
      </c>
      <c r="O483" s="55">
        <v>14405926.616705401</v>
      </c>
      <c r="P483" s="63">
        <v>0</v>
      </c>
      <c r="Q483" s="63">
        <v>0</v>
      </c>
      <c r="R483" s="63"/>
      <c r="S483" s="63"/>
      <c r="T483" s="64">
        <v>315028.438174429</v>
      </c>
      <c r="U483" s="205"/>
    </row>
    <row r="484" spans="1:70" x14ac:dyDescent="0.25">
      <c r="A484" s="193">
        <f t="shared" si="55"/>
        <v>462</v>
      </c>
      <c r="B484" s="107">
        <f t="shared" si="53"/>
        <v>3</v>
      </c>
      <c r="C484" s="53" t="s">
        <v>299</v>
      </c>
      <c r="D484" s="107" t="s">
        <v>508</v>
      </c>
      <c r="E484" s="62">
        <f t="shared" si="54"/>
        <v>40792489.775723681</v>
      </c>
      <c r="F484" s="55">
        <v>0</v>
      </c>
      <c r="G484" s="63">
        <v>0</v>
      </c>
      <c r="H484" s="63">
        <v>11100823.818992199</v>
      </c>
      <c r="I484" s="63">
        <v>0</v>
      </c>
      <c r="J484" s="63">
        <v>0</v>
      </c>
      <c r="K484" s="63"/>
      <c r="L484" s="55">
        <v>0</v>
      </c>
      <c r="M484" s="63">
        <v>0</v>
      </c>
      <c r="N484" s="63">
        <v>0</v>
      </c>
      <c r="O484" s="55">
        <v>28877735.329999998</v>
      </c>
      <c r="P484" s="63">
        <v>0</v>
      </c>
      <c r="Q484" s="63">
        <v>0</v>
      </c>
      <c r="R484" s="63"/>
      <c r="S484" s="63"/>
      <c r="T484" s="64">
        <v>813930.62673148594</v>
      </c>
      <c r="U484" s="205"/>
    </row>
    <row r="485" spans="1:70" x14ac:dyDescent="0.25">
      <c r="A485" s="193">
        <f t="shared" si="55"/>
        <v>463</v>
      </c>
      <c r="B485" s="107">
        <f t="shared" si="53"/>
        <v>4</v>
      </c>
      <c r="C485" s="53" t="s">
        <v>299</v>
      </c>
      <c r="D485" s="107" t="s">
        <v>302</v>
      </c>
      <c r="E485" s="62">
        <f t="shared" si="54"/>
        <v>20142166.740000002</v>
      </c>
      <c r="F485" s="55">
        <v>2320624.2799999998</v>
      </c>
      <c r="G485" s="63">
        <v>1208886.8700000001</v>
      </c>
      <c r="H485" s="63"/>
      <c r="I485" s="63">
        <v>480187.06</v>
      </c>
      <c r="J485" s="63">
        <v>0</v>
      </c>
      <c r="K485" s="63"/>
      <c r="L485" s="55"/>
      <c r="M485" s="63">
        <v>0</v>
      </c>
      <c r="N485" s="63">
        <v>4272787.71</v>
      </c>
      <c r="O485" s="55">
        <v>4924704.8499999996</v>
      </c>
      <c r="P485" s="63">
        <v>5939807.0499999998</v>
      </c>
      <c r="Q485" s="63"/>
      <c r="R485" s="63"/>
      <c r="S485" s="63"/>
      <c r="T485" s="64">
        <v>995168.92</v>
      </c>
      <c r="U485" s="205"/>
    </row>
    <row r="486" spans="1:70" x14ac:dyDescent="0.25">
      <c r="A486" s="193">
        <f t="shared" si="55"/>
        <v>464</v>
      </c>
      <c r="B486" s="107">
        <f t="shared" si="53"/>
        <v>5</v>
      </c>
      <c r="C486" s="53" t="s">
        <v>299</v>
      </c>
      <c r="D486" s="107" t="s">
        <v>509</v>
      </c>
      <c r="E486" s="62">
        <f t="shared" si="54"/>
        <v>25697350.123251438</v>
      </c>
      <c r="F486" s="55">
        <v>7353309.2599999998</v>
      </c>
      <c r="G486" s="63">
        <v>0</v>
      </c>
      <c r="H486" s="63">
        <v>2956319.09</v>
      </c>
      <c r="I486" s="63">
        <v>1953691.0272434</v>
      </c>
      <c r="J486" s="63">
        <v>0</v>
      </c>
      <c r="K486" s="63"/>
      <c r="L486" s="55">
        <v>200996.47018181099</v>
      </c>
      <c r="M486" s="63">
        <v>0</v>
      </c>
      <c r="N486" s="63"/>
      <c r="O486" s="63"/>
      <c r="P486" s="63">
        <v>12058761.4052178</v>
      </c>
      <c r="Q486" s="63">
        <v>0</v>
      </c>
      <c r="R486" s="63">
        <v>703424.09</v>
      </c>
      <c r="S486" s="63">
        <v>13714.29</v>
      </c>
      <c r="T486" s="64">
        <v>457134.49060842698</v>
      </c>
      <c r="U486" s="205"/>
    </row>
    <row r="487" spans="1:70" x14ac:dyDescent="0.25">
      <c r="A487" s="193">
        <f t="shared" si="55"/>
        <v>465</v>
      </c>
      <c r="B487" s="107">
        <f t="shared" si="53"/>
        <v>6</v>
      </c>
      <c r="C487" s="53" t="s">
        <v>299</v>
      </c>
      <c r="D487" s="107" t="s">
        <v>511</v>
      </c>
      <c r="E487" s="62">
        <f t="shared" si="54"/>
        <v>25938721.687226877</v>
      </c>
      <c r="F487" s="55">
        <v>6584152.9299999997</v>
      </c>
      <c r="G487" s="63">
        <v>0</v>
      </c>
      <c r="H487" s="63">
        <v>2939342.87</v>
      </c>
      <c r="I487" s="63">
        <v>1963047.2488547801</v>
      </c>
      <c r="J487" s="63">
        <v>0</v>
      </c>
      <c r="K487" s="63"/>
      <c r="L487" s="55">
        <v>201959.041792112</v>
      </c>
      <c r="M487" s="63">
        <v>0</v>
      </c>
      <c r="N487" s="63"/>
      <c r="O487" s="63"/>
      <c r="P487" s="63">
        <v>13094800.619999999</v>
      </c>
      <c r="Q487" s="63">
        <v>0</v>
      </c>
      <c r="R487" s="63">
        <v>680095.27</v>
      </c>
      <c r="S487" s="63">
        <v>16000</v>
      </c>
      <c r="T487" s="64">
        <v>459323.70657998702</v>
      </c>
      <c r="U487" s="205"/>
    </row>
    <row r="488" spans="1:70" x14ac:dyDescent="0.25">
      <c r="A488" s="193">
        <f t="shared" si="55"/>
        <v>466</v>
      </c>
      <c r="B488" s="107">
        <f t="shared" si="53"/>
        <v>7</v>
      </c>
      <c r="C488" s="53" t="s">
        <v>299</v>
      </c>
      <c r="D488" s="107" t="s">
        <v>513</v>
      </c>
      <c r="E488" s="62">
        <f t="shared" si="54"/>
        <v>14330152.564930262</v>
      </c>
      <c r="F488" s="55"/>
      <c r="G488" s="63"/>
      <c r="H488" s="63"/>
      <c r="I488" s="63"/>
      <c r="J488" s="63"/>
      <c r="K488" s="63"/>
      <c r="L488" s="55"/>
      <c r="M488" s="63"/>
      <c r="N488" s="63"/>
      <c r="O488" s="63"/>
      <c r="P488" s="63">
        <v>13610174.939999999</v>
      </c>
      <c r="Q488" s="63">
        <v>0</v>
      </c>
      <c r="R488" s="63">
        <v>431089.63</v>
      </c>
      <c r="S488" s="63">
        <v>24000</v>
      </c>
      <c r="T488" s="64">
        <v>264887.99493026198</v>
      </c>
      <c r="U488" s="205"/>
    </row>
    <row r="489" spans="1:70" x14ac:dyDescent="0.25">
      <c r="A489" s="193">
        <f t="shared" si="55"/>
        <v>467</v>
      </c>
      <c r="B489" s="107">
        <f t="shared" si="53"/>
        <v>8</v>
      </c>
      <c r="C489" s="53" t="s">
        <v>71</v>
      </c>
      <c r="D489" s="107" t="s">
        <v>305</v>
      </c>
      <c r="E489" s="62">
        <f t="shared" si="54"/>
        <v>4946612.4303665385</v>
      </c>
      <c r="F489" s="55">
        <v>0</v>
      </c>
      <c r="G489" s="63">
        <v>0</v>
      </c>
      <c r="H489" s="63"/>
      <c r="I489" s="63"/>
      <c r="J489" s="63">
        <v>0</v>
      </c>
      <c r="K489" s="63"/>
      <c r="L489" s="55"/>
      <c r="M489" s="63">
        <v>0</v>
      </c>
      <c r="N489" s="63">
        <v>0</v>
      </c>
      <c r="O489" s="63"/>
      <c r="P489" s="63">
        <v>4596356.03</v>
      </c>
      <c r="Q489" s="63"/>
      <c r="R489" s="63"/>
      <c r="S489" s="63"/>
      <c r="T489" s="64">
        <f>179832.138797376+170424.261569162</f>
        <v>350256.40036653797</v>
      </c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</row>
    <row r="490" spans="1:70" x14ac:dyDescent="0.25">
      <c r="A490" s="193">
        <f t="shared" si="55"/>
        <v>468</v>
      </c>
      <c r="B490" s="107">
        <f t="shared" si="53"/>
        <v>9</v>
      </c>
      <c r="C490" s="53" t="s">
        <v>62</v>
      </c>
      <c r="D490" s="107" t="s">
        <v>515</v>
      </c>
      <c r="E490" s="62">
        <f t="shared" si="54"/>
        <v>19115933.398649473</v>
      </c>
      <c r="F490" s="55"/>
      <c r="G490" s="63"/>
      <c r="H490" s="63"/>
      <c r="I490" s="63"/>
      <c r="J490" s="63"/>
      <c r="K490" s="63"/>
      <c r="L490" s="55"/>
      <c r="M490" s="63"/>
      <c r="N490" s="63"/>
      <c r="O490" s="63"/>
      <c r="P490" s="63">
        <v>18418596.889079701</v>
      </c>
      <c r="Q490" s="63"/>
      <c r="R490" s="63">
        <v>385917.87</v>
      </c>
      <c r="S490" s="63">
        <v>24000</v>
      </c>
      <c r="T490" s="64">
        <v>287418.639569772</v>
      </c>
      <c r="U490" s="205"/>
    </row>
    <row r="491" spans="1:70" x14ac:dyDescent="0.25">
      <c r="A491" s="193">
        <f t="shared" si="55"/>
        <v>469</v>
      </c>
      <c r="B491" s="107">
        <f t="shared" si="53"/>
        <v>10</v>
      </c>
      <c r="C491" s="53" t="s">
        <v>71</v>
      </c>
      <c r="D491" s="107" t="s">
        <v>456</v>
      </c>
      <c r="E491" s="62">
        <f t="shared" si="54"/>
        <v>14998628.980914973</v>
      </c>
      <c r="F491" s="55">
        <v>4867827.71</v>
      </c>
      <c r="G491" s="63">
        <v>6473660.0199999996</v>
      </c>
      <c r="H491" s="63"/>
      <c r="I491" s="63">
        <v>2732975.3</v>
      </c>
      <c r="J491" s="63">
        <v>0</v>
      </c>
      <c r="K491" s="63"/>
      <c r="L491" s="55">
        <v>391844.91901863401</v>
      </c>
      <c r="M491" s="63">
        <v>0</v>
      </c>
      <c r="N491" s="63">
        <v>0</v>
      </c>
      <c r="O491" s="63">
        <v>0</v>
      </c>
      <c r="P491" s="63">
        <v>0</v>
      </c>
      <c r="Q491" s="63">
        <v>0</v>
      </c>
      <c r="R491" s="63"/>
      <c r="S491" s="63"/>
      <c r="T491" s="64">
        <v>532321.03189633798</v>
      </c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</row>
    <row r="492" spans="1:70" x14ac:dyDescent="0.25">
      <c r="A492" s="193">
        <f t="shared" si="55"/>
        <v>470</v>
      </c>
      <c r="B492" s="107">
        <f t="shared" si="53"/>
        <v>11</v>
      </c>
      <c r="C492" s="53" t="s">
        <v>71</v>
      </c>
      <c r="D492" s="107" t="s">
        <v>74</v>
      </c>
      <c r="E492" s="62">
        <f t="shared" si="54"/>
        <v>3192771.5425127186</v>
      </c>
      <c r="F492" s="55">
        <v>0</v>
      </c>
      <c r="G492" s="63">
        <v>0</v>
      </c>
      <c r="H492" s="63">
        <v>0</v>
      </c>
      <c r="I492" s="63">
        <v>0</v>
      </c>
      <c r="J492" s="63">
        <v>0</v>
      </c>
      <c r="K492" s="63"/>
      <c r="L492" s="55"/>
      <c r="M492" s="63">
        <v>0</v>
      </c>
      <c r="N492" s="63">
        <v>0</v>
      </c>
      <c r="O492" s="63"/>
      <c r="P492" s="63">
        <v>3110879.85</v>
      </c>
      <c r="Q492" s="63"/>
      <c r="R492" s="63"/>
      <c r="S492" s="63"/>
      <c r="T492" s="64">
        <v>81891.692512718495</v>
      </c>
      <c r="U492" s="205"/>
    </row>
    <row r="493" spans="1:70" x14ac:dyDescent="0.25">
      <c r="A493" s="193">
        <f t="shared" si="55"/>
        <v>471</v>
      </c>
      <c r="B493" s="107">
        <f t="shared" si="53"/>
        <v>12</v>
      </c>
      <c r="C493" s="53" t="s">
        <v>71</v>
      </c>
      <c r="D493" s="107" t="s">
        <v>73</v>
      </c>
      <c r="E493" s="62">
        <f t="shared" si="54"/>
        <v>32932723.469613526</v>
      </c>
      <c r="F493" s="55">
        <v>15445175.692750501</v>
      </c>
      <c r="G493" s="63"/>
      <c r="H493" s="63"/>
      <c r="I493" s="63">
        <v>4394988.2082883697</v>
      </c>
      <c r="J493" s="63">
        <v>0</v>
      </c>
      <c r="K493" s="63"/>
      <c r="L493" s="55">
        <v>498856.69936996902</v>
      </c>
      <c r="M493" s="63">
        <v>0</v>
      </c>
      <c r="N493" s="63">
        <v>0</v>
      </c>
      <c r="O493" s="63">
        <v>0</v>
      </c>
      <c r="P493" s="63">
        <v>0</v>
      </c>
      <c r="Q493" s="63">
        <v>11673633.7116115</v>
      </c>
      <c r="R493" s="63"/>
      <c r="S493" s="63"/>
      <c r="T493" s="64">
        <v>920069.15759318694</v>
      </c>
      <c r="U493" s="205"/>
    </row>
    <row r="494" spans="1:70" x14ac:dyDescent="0.25">
      <c r="A494" s="193">
        <f t="shared" si="55"/>
        <v>472</v>
      </c>
      <c r="B494" s="107">
        <f t="shared" si="53"/>
        <v>13</v>
      </c>
      <c r="C494" s="53" t="s">
        <v>71</v>
      </c>
      <c r="D494" s="107" t="s">
        <v>457</v>
      </c>
      <c r="E494" s="62">
        <f t="shared" si="54"/>
        <v>8070323.732220036</v>
      </c>
      <c r="F494" s="55">
        <v>4375255.51</v>
      </c>
      <c r="G494" s="63"/>
      <c r="H494" s="63">
        <v>3025139.6994356201</v>
      </c>
      <c r="I494" s="63"/>
      <c r="J494" s="63">
        <v>0</v>
      </c>
      <c r="K494" s="63"/>
      <c r="L494" s="55">
        <v>280018.89626418502</v>
      </c>
      <c r="M494" s="63">
        <v>0</v>
      </c>
      <c r="N494" s="63">
        <v>0</v>
      </c>
      <c r="O494" s="63">
        <v>0</v>
      </c>
      <c r="P494" s="63">
        <v>0</v>
      </c>
      <c r="Q494" s="63">
        <v>0</v>
      </c>
      <c r="R494" s="63"/>
      <c r="S494" s="63"/>
      <c r="T494" s="64">
        <v>389909.62652023102</v>
      </c>
      <c r="U494" s="205"/>
    </row>
    <row r="495" spans="1:70" x14ac:dyDescent="0.25">
      <c r="A495" s="193">
        <f t="shared" si="55"/>
        <v>473</v>
      </c>
      <c r="B495" s="107">
        <f t="shared" si="53"/>
        <v>14</v>
      </c>
      <c r="C495" s="53" t="s">
        <v>516</v>
      </c>
      <c r="D495" s="107" t="s">
        <v>517</v>
      </c>
      <c r="E495" s="62">
        <f t="shared" si="54"/>
        <v>26824385.29874431</v>
      </c>
      <c r="F495" s="55">
        <v>14432823.3023171</v>
      </c>
      <c r="G495" s="63">
        <v>7108989.1508563198</v>
      </c>
      <c r="H495" s="63">
        <v>4341482.2764144</v>
      </c>
      <c r="I495" s="63">
        <v>0</v>
      </c>
      <c r="J495" s="63">
        <v>0</v>
      </c>
      <c r="K495" s="63">
        <v>0</v>
      </c>
      <c r="L495" s="55">
        <v>432862.10529119999</v>
      </c>
      <c r="M495" s="63">
        <v>0</v>
      </c>
      <c r="N495" s="63">
        <v>0</v>
      </c>
      <c r="O495" s="63">
        <v>0</v>
      </c>
      <c r="P495" s="63">
        <v>0</v>
      </c>
      <c r="Q495" s="63">
        <v>0</v>
      </c>
      <c r="R495" s="63"/>
      <c r="S495" s="63"/>
      <c r="T495" s="64">
        <v>508228.46386528801</v>
      </c>
      <c r="U495" s="205"/>
    </row>
    <row r="496" spans="1:70" x14ac:dyDescent="0.25">
      <c r="A496" s="193">
        <f t="shared" si="55"/>
        <v>474</v>
      </c>
      <c r="B496" s="107">
        <f t="shared" si="53"/>
        <v>15</v>
      </c>
      <c r="C496" s="53" t="s">
        <v>776</v>
      </c>
      <c r="D496" s="107" t="s">
        <v>519</v>
      </c>
      <c r="E496" s="62">
        <f t="shared" si="54"/>
        <v>32650895.294625279</v>
      </c>
      <c r="F496" s="55"/>
      <c r="G496" s="63"/>
      <c r="H496" s="63"/>
      <c r="I496" s="63"/>
      <c r="J496" s="63"/>
      <c r="K496" s="63"/>
      <c r="L496" s="55"/>
      <c r="M496" s="63"/>
      <c r="N496" s="63">
        <v>13204189.2203006</v>
      </c>
      <c r="O496" s="63"/>
      <c r="P496" s="63">
        <v>18418596.889079701</v>
      </c>
      <c r="Q496" s="63">
        <v>0</v>
      </c>
      <c r="R496" s="63">
        <v>312582.90000000002</v>
      </c>
      <c r="S496" s="63">
        <v>24000</v>
      </c>
      <c r="T496" s="64">
        <v>691526.28524498001</v>
      </c>
      <c r="U496" s="205"/>
    </row>
    <row r="497" spans="1:21" x14ac:dyDescent="0.25">
      <c r="A497" s="193">
        <f t="shared" si="55"/>
        <v>475</v>
      </c>
      <c r="B497" s="107">
        <f t="shared" si="53"/>
        <v>16</v>
      </c>
      <c r="C497" s="53" t="s">
        <v>776</v>
      </c>
      <c r="D497" s="107" t="s">
        <v>520</v>
      </c>
      <c r="E497" s="62">
        <f t="shared" si="54"/>
        <v>36790282.171993539</v>
      </c>
      <c r="F497" s="55"/>
      <c r="G497" s="63"/>
      <c r="H497" s="63"/>
      <c r="I497" s="63"/>
      <c r="J497" s="63"/>
      <c r="K497" s="63"/>
      <c r="L497" s="55"/>
      <c r="M497" s="63"/>
      <c r="N497" s="63">
        <v>14561839.199999999</v>
      </c>
      <c r="O497" s="63"/>
      <c r="P497" s="63">
        <v>21071613.243426401</v>
      </c>
      <c r="Q497" s="63">
        <v>0</v>
      </c>
      <c r="R497" s="63">
        <v>341234.25</v>
      </c>
      <c r="S497" s="63">
        <v>24000</v>
      </c>
      <c r="T497" s="64">
        <v>791595.47856713797</v>
      </c>
      <c r="U497" s="205"/>
    </row>
    <row r="498" spans="1:21" x14ac:dyDescent="0.25">
      <c r="A498" s="193">
        <f t="shared" si="55"/>
        <v>476</v>
      </c>
      <c r="B498" s="107">
        <f t="shared" si="53"/>
        <v>17</v>
      </c>
      <c r="C498" s="53" t="s">
        <v>776</v>
      </c>
      <c r="D498" s="107" t="s">
        <v>521</v>
      </c>
      <c r="E498" s="62">
        <f t="shared" si="54"/>
        <v>30206844.969093449</v>
      </c>
      <c r="F498" s="55"/>
      <c r="G498" s="63"/>
      <c r="H498" s="63"/>
      <c r="I498" s="63"/>
      <c r="J498" s="63"/>
      <c r="K498" s="63"/>
      <c r="L498" s="55"/>
      <c r="M498" s="63"/>
      <c r="N498" s="63">
        <v>10865690.4</v>
      </c>
      <c r="O498" s="63"/>
      <c r="P498" s="63">
        <v>18301617.377269398</v>
      </c>
      <c r="Q498" s="63">
        <v>0</v>
      </c>
      <c r="R498" s="63">
        <v>328623.64</v>
      </c>
      <c r="S498" s="63">
        <v>24000</v>
      </c>
      <c r="T498" s="64">
        <v>686913.55182404898</v>
      </c>
      <c r="U498" s="205"/>
    </row>
    <row r="499" spans="1:21" x14ac:dyDescent="0.25">
      <c r="A499" s="193">
        <f t="shared" si="55"/>
        <v>477</v>
      </c>
      <c r="B499" s="107">
        <f t="shared" si="53"/>
        <v>18</v>
      </c>
      <c r="C499" s="53" t="s">
        <v>776</v>
      </c>
      <c r="D499" s="107" t="s">
        <v>522</v>
      </c>
      <c r="E499" s="62">
        <f t="shared" si="54"/>
        <v>33112299.333448805</v>
      </c>
      <c r="F499" s="55"/>
      <c r="G499" s="63"/>
      <c r="H499" s="63"/>
      <c r="I499" s="63"/>
      <c r="J499" s="63"/>
      <c r="K499" s="63"/>
      <c r="L499" s="55"/>
      <c r="M499" s="63"/>
      <c r="N499" s="63">
        <v>13388581.5080877</v>
      </c>
      <c r="O499" s="63"/>
      <c r="P499" s="63">
        <v>18681183.810105301</v>
      </c>
      <c r="Q499" s="63">
        <v>0</v>
      </c>
      <c r="R499" s="63">
        <v>329233.2</v>
      </c>
      <c r="S499" s="63">
        <v>12000</v>
      </c>
      <c r="T499" s="64">
        <v>701300.81525580399</v>
      </c>
      <c r="U499" s="205"/>
    </row>
    <row r="500" spans="1:21" x14ac:dyDescent="0.25">
      <c r="A500" s="193">
        <f t="shared" si="55"/>
        <v>478</v>
      </c>
      <c r="B500" s="107">
        <f t="shared" si="53"/>
        <v>19</v>
      </c>
      <c r="C500" s="53" t="s">
        <v>776</v>
      </c>
      <c r="D500" s="107" t="s">
        <v>523</v>
      </c>
      <c r="E500" s="62">
        <f t="shared" si="54"/>
        <v>32478644.078400064</v>
      </c>
      <c r="F500" s="55"/>
      <c r="G500" s="63"/>
      <c r="H500" s="63"/>
      <c r="I500" s="63"/>
      <c r="J500" s="63"/>
      <c r="K500" s="63"/>
      <c r="L500" s="55"/>
      <c r="M500" s="63"/>
      <c r="N500" s="63">
        <v>13126738.2667841</v>
      </c>
      <c r="O500" s="63"/>
      <c r="P500" s="63">
        <v>18322841.508104201</v>
      </c>
      <c r="Q500" s="63">
        <v>0</v>
      </c>
      <c r="R500" s="63">
        <v>329325.69</v>
      </c>
      <c r="S500" s="63">
        <v>12000</v>
      </c>
      <c r="T500" s="64">
        <v>687738.613511762</v>
      </c>
      <c r="U500" s="205"/>
    </row>
    <row r="501" spans="1:21" x14ac:dyDescent="0.25">
      <c r="A501" s="193">
        <f t="shared" si="55"/>
        <v>479</v>
      </c>
      <c r="B501" s="107">
        <f t="shared" si="53"/>
        <v>20</v>
      </c>
      <c r="C501" s="53" t="s">
        <v>776</v>
      </c>
      <c r="D501" s="107" t="s">
        <v>524</v>
      </c>
      <c r="E501" s="62">
        <f t="shared" si="54"/>
        <v>20993417.585164387</v>
      </c>
      <c r="F501" s="55"/>
      <c r="G501" s="63"/>
      <c r="H501" s="63"/>
      <c r="I501" s="63"/>
      <c r="J501" s="63"/>
      <c r="K501" s="63"/>
      <c r="L501" s="55"/>
      <c r="M501" s="63"/>
      <c r="N501" s="63">
        <v>8451044.9299999997</v>
      </c>
      <c r="O501" s="63"/>
      <c r="P501" s="63">
        <v>11807033.3418286</v>
      </c>
      <c r="Q501" s="63">
        <v>0</v>
      </c>
      <c r="R501" s="63">
        <v>281636.15000000002</v>
      </c>
      <c r="S501" s="63">
        <v>12000</v>
      </c>
      <c r="T501" s="64">
        <v>441703.16333578998</v>
      </c>
      <c r="U501" s="205"/>
    </row>
    <row r="502" spans="1:21" x14ac:dyDescent="0.25">
      <c r="A502" s="193">
        <f t="shared" si="55"/>
        <v>480</v>
      </c>
      <c r="B502" s="107">
        <f t="shared" si="53"/>
        <v>21</v>
      </c>
      <c r="C502" s="53" t="s">
        <v>75</v>
      </c>
      <c r="D502" s="107" t="s">
        <v>77</v>
      </c>
      <c r="E502" s="62">
        <f t="shared" si="54"/>
        <v>12074742.50892779</v>
      </c>
      <c r="F502" s="55"/>
      <c r="G502" s="63"/>
      <c r="H502" s="63">
        <v>3532642.50892779</v>
      </c>
      <c r="I502" s="63"/>
      <c r="J502" s="63">
        <v>0</v>
      </c>
      <c r="K502" s="63"/>
      <c r="L502" s="55"/>
      <c r="M502" s="63">
        <v>8024927.0976</v>
      </c>
      <c r="N502" s="63"/>
      <c r="O502" s="63">
        <v>0</v>
      </c>
      <c r="P502" s="63">
        <v>0</v>
      </c>
      <c r="Q502" s="63">
        <v>0</v>
      </c>
      <c r="R502" s="63">
        <v>256263</v>
      </c>
      <c r="S502" s="63">
        <v>85421</v>
      </c>
      <c r="T502" s="64">
        <v>175488.90239999999</v>
      </c>
      <c r="U502" s="205"/>
    </row>
    <row r="503" spans="1:21" x14ac:dyDescent="0.25">
      <c r="A503" s="193">
        <f t="shared" si="55"/>
        <v>481</v>
      </c>
      <c r="B503" s="107">
        <f t="shared" si="53"/>
        <v>22</v>
      </c>
      <c r="C503" s="53" t="s">
        <v>75</v>
      </c>
      <c r="D503" s="107" t="s">
        <v>526</v>
      </c>
      <c r="E503" s="62">
        <f t="shared" si="54"/>
        <v>2774182.8301903843</v>
      </c>
      <c r="F503" s="55">
        <v>0</v>
      </c>
      <c r="G503" s="63">
        <v>0</v>
      </c>
      <c r="H503" s="63">
        <v>2714815.31762431</v>
      </c>
      <c r="I503" s="63">
        <v>0</v>
      </c>
      <c r="J503" s="63">
        <v>0</v>
      </c>
      <c r="K503" s="63"/>
      <c r="L503" s="55"/>
      <c r="M503" s="63">
        <v>0</v>
      </c>
      <c r="N503" s="63">
        <v>0</v>
      </c>
      <c r="O503" s="63">
        <v>0</v>
      </c>
      <c r="P503" s="63">
        <v>0</v>
      </c>
      <c r="Q503" s="63">
        <v>0</v>
      </c>
      <c r="R503" s="63"/>
      <c r="S503" s="63"/>
      <c r="T503" s="64">
        <v>59367.5125660743</v>
      </c>
      <c r="U503" s="205"/>
    </row>
    <row r="504" spans="1:21" x14ac:dyDescent="0.25">
      <c r="A504" s="193">
        <f t="shared" si="55"/>
        <v>482</v>
      </c>
      <c r="B504" s="107">
        <f t="shared" si="53"/>
        <v>23</v>
      </c>
      <c r="C504" s="53" t="s">
        <v>75</v>
      </c>
      <c r="D504" s="107" t="s">
        <v>527</v>
      </c>
      <c r="E504" s="62">
        <f t="shared" si="54"/>
        <v>31867227.370937694</v>
      </c>
      <c r="F504" s="55">
        <v>7654861.8469105698</v>
      </c>
      <c r="G504" s="63">
        <v>0</v>
      </c>
      <c r="H504" s="63">
        <v>1903165.26</v>
      </c>
      <c r="I504" s="63">
        <v>0</v>
      </c>
      <c r="J504" s="63">
        <v>0</v>
      </c>
      <c r="K504" s="63"/>
      <c r="L504" s="55">
        <v>341658.25265146903</v>
      </c>
      <c r="M504" s="63">
        <v>0</v>
      </c>
      <c r="N504" s="63"/>
      <c r="O504" s="63">
        <v>0</v>
      </c>
      <c r="P504" s="63">
        <v>21362887.940000001</v>
      </c>
      <c r="Q504" s="63">
        <v>0</v>
      </c>
      <c r="R504" s="63"/>
      <c r="S504" s="63"/>
      <c r="T504" s="64">
        <v>604654.07137565303</v>
      </c>
      <c r="U504" s="205"/>
    </row>
    <row r="505" spans="1:21" x14ac:dyDescent="0.25">
      <c r="A505" s="193">
        <f t="shared" si="55"/>
        <v>483</v>
      </c>
      <c r="B505" s="107">
        <f t="shared" si="53"/>
        <v>24</v>
      </c>
      <c r="C505" s="53" t="s">
        <v>75</v>
      </c>
      <c r="D505" s="107" t="s">
        <v>528</v>
      </c>
      <c r="E505" s="62">
        <f t="shared" si="54"/>
        <v>3054050.8543430273</v>
      </c>
      <c r="F505" s="55">
        <v>0</v>
      </c>
      <c r="G505" s="63">
        <v>0</v>
      </c>
      <c r="H505" s="63">
        <v>2991277.86</v>
      </c>
      <c r="I505" s="63">
        <v>0</v>
      </c>
      <c r="J505" s="63">
        <v>0</v>
      </c>
      <c r="K505" s="63"/>
      <c r="L505" s="55"/>
      <c r="M505" s="63">
        <v>0</v>
      </c>
      <c r="N505" s="63">
        <v>0</v>
      </c>
      <c r="O505" s="63">
        <v>0</v>
      </c>
      <c r="P505" s="63">
        <v>0</v>
      </c>
      <c r="Q505" s="63">
        <v>0</v>
      </c>
      <c r="R505" s="63"/>
      <c r="S505" s="63"/>
      <c r="T505" s="64">
        <v>62772.9943430274</v>
      </c>
      <c r="U505" s="205"/>
    </row>
    <row r="506" spans="1:21" x14ac:dyDescent="0.25">
      <c r="A506" s="193">
        <f t="shared" si="55"/>
        <v>484</v>
      </c>
      <c r="B506" s="107">
        <f t="shared" si="53"/>
        <v>25</v>
      </c>
      <c r="C506" s="53" t="s">
        <v>75</v>
      </c>
      <c r="D506" s="107" t="s">
        <v>529</v>
      </c>
      <c r="E506" s="62">
        <f t="shared" si="54"/>
        <v>15805176.473731045</v>
      </c>
      <c r="F506" s="55">
        <v>0</v>
      </c>
      <c r="G506" s="63">
        <v>0</v>
      </c>
      <c r="H506" s="63">
        <v>0</v>
      </c>
      <c r="I506" s="63">
        <v>0</v>
      </c>
      <c r="J506" s="63">
        <v>0</v>
      </c>
      <c r="K506" s="63"/>
      <c r="L506" s="55"/>
      <c r="M506" s="63">
        <v>0</v>
      </c>
      <c r="N506" s="63">
        <v>15466945.6971932</v>
      </c>
      <c r="O506" s="63">
        <v>0</v>
      </c>
      <c r="P506" s="63"/>
      <c r="Q506" s="63">
        <v>0</v>
      </c>
      <c r="R506" s="63"/>
      <c r="S506" s="63"/>
      <c r="T506" s="64">
        <v>338230.77653784503</v>
      </c>
      <c r="U506" s="205"/>
    </row>
    <row r="507" spans="1:21" x14ac:dyDescent="0.25">
      <c r="A507" s="193">
        <f t="shared" si="55"/>
        <v>485</v>
      </c>
      <c r="B507" s="107">
        <f t="shared" si="53"/>
        <v>26</v>
      </c>
      <c r="C507" s="53" t="s">
        <v>75</v>
      </c>
      <c r="D507" s="107" t="s">
        <v>530</v>
      </c>
      <c r="E507" s="62">
        <f t="shared" si="54"/>
        <v>4498939.372565493</v>
      </c>
      <c r="F507" s="55"/>
      <c r="G507" s="63"/>
      <c r="H507" s="63">
        <v>4048212.59</v>
      </c>
      <c r="I507" s="63"/>
      <c r="J507" s="63">
        <v>0</v>
      </c>
      <c r="K507" s="63"/>
      <c r="L507" s="55"/>
      <c r="M507" s="63">
        <v>0</v>
      </c>
      <c r="N507" s="63">
        <v>0</v>
      </c>
      <c r="O507" s="63">
        <v>0</v>
      </c>
      <c r="P507" s="63">
        <v>0</v>
      </c>
      <c r="Q507" s="63">
        <v>0</v>
      </c>
      <c r="R507" s="63"/>
      <c r="S507" s="63"/>
      <c r="T507" s="64">
        <v>450726.78256549302</v>
      </c>
      <c r="U507" s="205"/>
    </row>
    <row r="508" spans="1:21" x14ac:dyDescent="0.25">
      <c r="A508" s="193">
        <f t="shared" si="55"/>
        <v>486</v>
      </c>
      <c r="B508" s="107">
        <f t="shared" si="53"/>
        <v>27</v>
      </c>
      <c r="C508" s="53" t="s">
        <v>75</v>
      </c>
      <c r="D508" s="107" t="s">
        <v>458</v>
      </c>
      <c r="E508" s="62">
        <f t="shared" si="54"/>
        <v>9553166.7882730849</v>
      </c>
      <c r="F508" s="55"/>
      <c r="G508" s="63">
        <v>0</v>
      </c>
      <c r="H508" s="63">
        <v>7688281.3864862304</v>
      </c>
      <c r="I508" s="63">
        <v>0</v>
      </c>
      <c r="J508" s="63">
        <v>0</v>
      </c>
      <c r="K508" s="63"/>
      <c r="L508" s="55">
        <v>1109290.64124894</v>
      </c>
      <c r="M508" s="63">
        <v>0</v>
      </c>
      <c r="N508" s="63">
        <v>0</v>
      </c>
      <c r="O508" s="63">
        <v>0</v>
      </c>
      <c r="P508" s="63">
        <v>0</v>
      </c>
      <c r="Q508" s="63">
        <v>0</v>
      </c>
      <c r="R508" s="63"/>
      <c r="S508" s="63"/>
      <c r="T508" s="64">
        <v>755594.76053791505</v>
      </c>
      <c r="U508" s="205"/>
    </row>
    <row r="509" spans="1:21" x14ac:dyDescent="0.25">
      <c r="A509" s="193">
        <f t="shared" si="55"/>
        <v>487</v>
      </c>
      <c r="B509" s="107">
        <f t="shared" si="53"/>
        <v>28</v>
      </c>
      <c r="C509" s="53" t="s">
        <v>75</v>
      </c>
      <c r="D509" s="107" t="s">
        <v>531</v>
      </c>
      <c r="E509" s="62">
        <f t="shared" si="54"/>
        <v>4271050</v>
      </c>
      <c r="F509" s="55">
        <v>0</v>
      </c>
      <c r="G509" s="63">
        <v>0</v>
      </c>
      <c r="H509" s="63">
        <v>0</v>
      </c>
      <c r="I509" s="63">
        <v>0</v>
      </c>
      <c r="J509" s="63">
        <v>0</v>
      </c>
      <c r="K509" s="63"/>
      <c r="L509" s="55">
        <v>0</v>
      </c>
      <c r="M509" s="63">
        <v>4012463.5488</v>
      </c>
      <c r="N509" s="63"/>
      <c r="O509" s="63">
        <v>0</v>
      </c>
      <c r="P509" s="63">
        <v>0</v>
      </c>
      <c r="Q509" s="63">
        <v>0</v>
      </c>
      <c r="R509" s="63">
        <v>128131.5</v>
      </c>
      <c r="S509" s="63">
        <v>42710.5</v>
      </c>
      <c r="T509" s="64">
        <v>87744.451199999996</v>
      </c>
      <c r="U509" s="205"/>
    </row>
    <row r="510" spans="1:21" x14ac:dyDescent="0.25">
      <c r="A510" s="193">
        <f t="shared" si="55"/>
        <v>488</v>
      </c>
      <c r="B510" s="107">
        <f t="shared" si="53"/>
        <v>29</v>
      </c>
      <c r="C510" s="53" t="s">
        <v>75</v>
      </c>
      <c r="D510" s="107" t="s">
        <v>532</v>
      </c>
      <c r="E510" s="62">
        <f t="shared" si="54"/>
        <v>12813150</v>
      </c>
      <c r="F510" s="55"/>
      <c r="G510" s="63"/>
      <c r="H510" s="63"/>
      <c r="I510" s="63"/>
      <c r="J510" s="63"/>
      <c r="K510" s="63"/>
      <c r="L510" s="55"/>
      <c r="M510" s="63">
        <v>12037390.646400001</v>
      </c>
      <c r="N510" s="63"/>
      <c r="O510" s="63"/>
      <c r="P510" s="63"/>
      <c r="Q510" s="63"/>
      <c r="R510" s="63">
        <v>384394.5</v>
      </c>
      <c r="S510" s="63">
        <v>128131.5</v>
      </c>
      <c r="T510" s="64">
        <v>263233.35359999997</v>
      </c>
      <c r="U510" s="205"/>
    </row>
    <row r="511" spans="1:21" x14ac:dyDescent="0.25">
      <c r="A511" s="193">
        <f t="shared" si="55"/>
        <v>489</v>
      </c>
      <c r="B511" s="107">
        <f t="shared" si="53"/>
        <v>30</v>
      </c>
      <c r="C511" s="53" t="s">
        <v>75</v>
      </c>
      <c r="D511" s="107" t="s">
        <v>533</v>
      </c>
      <c r="E511" s="62">
        <f t="shared" si="54"/>
        <v>4271050</v>
      </c>
      <c r="F511" s="55"/>
      <c r="G511" s="63"/>
      <c r="H511" s="63"/>
      <c r="I511" s="63"/>
      <c r="J511" s="63"/>
      <c r="K511" s="63"/>
      <c r="L511" s="55"/>
      <c r="M511" s="63">
        <v>4012463.5488</v>
      </c>
      <c r="N511" s="63"/>
      <c r="O511" s="63"/>
      <c r="P511" s="63"/>
      <c r="Q511" s="63"/>
      <c r="R511" s="63">
        <v>128131.5</v>
      </c>
      <c r="S511" s="63">
        <v>42710.5</v>
      </c>
      <c r="T511" s="64">
        <v>87744.451199999996</v>
      </c>
      <c r="U511" s="205"/>
    </row>
    <row r="512" spans="1:21" x14ac:dyDescent="0.25">
      <c r="A512" s="193">
        <f t="shared" si="55"/>
        <v>490</v>
      </c>
      <c r="B512" s="107">
        <f t="shared" si="53"/>
        <v>31</v>
      </c>
      <c r="C512" s="53" t="s">
        <v>75</v>
      </c>
      <c r="D512" s="107" t="s">
        <v>534</v>
      </c>
      <c r="E512" s="62">
        <f t="shared" si="54"/>
        <v>8542100</v>
      </c>
      <c r="F512" s="55"/>
      <c r="G512" s="63"/>
      <c r="H512" s="63"/>
      <c r="I512" s="63"/>
      <c r="J512" s="63"/>
      <c r="K512" s="63"/>
      <c r="L512" s="55"/>
      <c r="M512" s="63">
        <v>8024927.0976</v>
      </c>
      <c r="N512" s="63"/>
      <c r="O512" s="63"/>
      <c r="P512" s="63"/>
      <c r="Q512" s="63"/>
      <c r="R512" s="63">
        <v>256263</v>
      </c>
      <c r="S512" s="63">
        <v>85421</v>
      </c>
      <c r="T512" s="64">
        <v>175488.90239999999</v>
      </c>
      <c r="U512" s="205"/>
    </row>
    <row r="513" spans="1:70" x14ac:dyDescent="0.25">
      <c r="A513" s="193">
        <f t="shared" si="55"/>
        <v>491</v>
      </c>
      <c r="B513" s="107">
        <f t="shared" si="53"/>
        <v>32</v>
      </c>
      <c r="C513" s="53" t="s">
        <v>75</v>
      </c>
      <c r="D513" s="107" t="s">
        <v>535</v>
      </c>
      <c r="E513" s="62">
        <f t="shared" si="54"/>
        <v>4271050</v>
      </c>
      <c r="F513" s="55"/>
      <c r="G513" s="63"/>
      <c r="H513" s="63"/>
      <c r="I513" s="63"/>
      <c r="J513" s="63"/>
      <c r="K513" s="63"/>
      <c r="L513" s="55"/>
      <c r="M513" s="63">
        <v>4012463.5488</v>
      </c>
      <c r="N513" s="63"/>
      <c r="O513" s="63"/>
      <c r="P513" s="63"/>
      <c r="Q513" s="63"/>
      <c r="R513" s="63">
        <v>128131.5</v>
      </c>
      <c r="S513" s="63">
        <v>42710.5</v>
      </c>
      <c r="T513" s="64">
        <v>87744.451199999996</v>
      </c>
      <c r="U513" s="205"/>
    </row>
    <row r="514" spans="1:70" x14ac:dyDescent="0.25">
      <c r="A514" s="193">
        <f t="shared" si="55"/>
        <v>492</v>
      </c>
      <c r="B514" s="107">
        <f t="shared" ref="B514:B545" si="56">+B513+1</f>
        <v>33</v>
      </c>
      <c r="C514" s="53" t="s">
        <v>75</v>
      </c>
      <c r="D514" s="107" t="s">
        <v>80</v>
      </c>
      <c r="E514" s="62">
        <f t="shared" si="54"/>
        <v>6651991.1786065903</v>
      </c>
      <c r="F514" s="55"/>
      <c r="G514" s="63"/>
      <c r="H514" s="63">
        <v>6509638.5673844097</v>
      </c>
      <c r="I514" s="63"/>
      <c r="J514" s="63"/>
      <c r="K514" s="63"/>
      <c r="L514" s="55"/>
      <c r="M514" s="63">
        <v>0</v>
      </c>
      <c r="N514" s="63">
        <v>0</v>
      </c>
      <c r="O514" s="63">
        <v>0</v>
      </c>
      <c r="P514" s="63">
        <v>0</v>
      </c>
      <c r="Q514" s="63">
        <v>0</v>
      </c>
      <c r="R514" s="63"/>
      <c r="S514" s="63"/>
      <c r="T514" s="64">
        <v>142352.611222181</v>
      </c>
      <c r="U514" s="205"/>
    </row>
    <row r="515" spans="1:70" x14ac:dyDescent="0.25">
      <c r="A515" s="193">
        <f t="shared" si="55"/>
        <v>493</v>
      </c>
      <c r="B515" s="107">
        <f t="shared" si="56"/>
        <v>34</v>
      </c>
      <c r="C515" s="53" t="s">
        <v>75</v>
      </c>
      <c r="D515" s="107" t="s">
        <v>536</v>
      </c>
      <c r="E515" s="62">
        <f t="shared" si="54"/>
        <v>12813150</v>
      </c>
      <c r="F515" s="55"/>
      <c r="G515" s="63"/>
      <c r="H515" s="63"/>
      <c r="I515" s="63"/>
      <c r="J515" s="63"/>
      <c r="K515" s="63"/>
      <c r="L515" s="55"/>
      <c r="M515" s="63">
        <v>12037390.646400001</v>
      </c>
      <c r="N515" s="63"/>
      <c r="O515" s="63"/>
      <c r="P515" s="63"/>
      <c r="Q515" s="63"/>
      <c r="R515" s="63">
        <v>384394.5</v>
      </c>
      <c r="S515" s="63">
        <v>128131.5</v>
      </c>
      <c r="T515" s="64">
        <v>263233.35359999997</v>
      </c>
      <c r="U515" s="205"/>
    </row>
    <row r="516" spans="1:70" x14ac:dyDescent="0.25">
      <c r="A516" s="193">
        <f t="shared" si="55"/>
        <v>494</v>
      </c>
      <c r="B516" s="107">
        <f t="shared" si="56"/>
        <v>35</v>
      </c>
      <c r="C516" s="53" t="s">
        <v>75</v>
      </c>
      <c r="D516" s="107" t="s">
        <v>81</v>
      </c>
      <c r="E516" s="62">
        <f t="shared" si="54"/>
        <v>6643105.8305029189</v>
      </c>
      <c r="F516" s="55"/>
      <c r="G516" s="63"/>
      <c r="H516" s="63">
        <v>6582856.3200000003</v>
      </c>
      <c r="I516" s="63"/>
      <c r="J516" s="63"/>
      <c r="K516" s="63"/>
      <c r="L516" s="55"/>
      <c r="M516" s="63">
        <v>0</v>
      </c>
      <c r="N516" s="63">
        <v>0</v>
      </c>
      <c r="O516" s="63"/>
      <c r="P516" s="63">
        <v>0</v>
      </c>
      <c r="Q516" s="63">
        <v>0</v>
      </c>
      <c r="R516" s="63"/>
      <c r="S516" s="63"/>
      <c r="T516" s="64">
        <v>60249.510502919002</v>
      </c>
      <c r="U516" s="205"/>
    </row>
    <row r="517" spans="1:70" x14ac:dyDescent="0.25">
      <c r="A517" s="193">
        <f t="shared" si="55"/>
        <v>495</v>
      </c>
      <c r="B517" s="107">
        <f t="shared" si="56"/>
        <v>36</v>
      </c>
      <c r="C517" s="53" t="s">
        <v>75</v>
      </c>
      <c r="D517" s="107" t="s">
        <v>537</v>
      </c>
      <c r="E517" s="62">
        <f t="shared" si="54"/>
        <v>4271050</v>
      </c>
      <c r="F517" s="55"/>
      <c r="G517" s="63"/>
      <c r="H517" s="63"/>
      <c r="I517" s="63"/>
      <c r="J517" s="63"/>
      <c r="K517" s="63"/>
      <c r="L517" s="55"/>
      <c r="M517" s="63">
        <v>4012463.5488</v>
      </c>
      <c r="N517" s="63"/>
      <c r="O517" s="63"/>
      <c r="P517" s="63"/>
      <c r="Q517" s="63"/>
      <c r="R517" s="63">
        <v>128131.5</v>
      </c>
      <c r="S517" s="63">
        <v>42710.5</v>
      </c>
      <c r="T517" s="64">
        <v>87744.451199999996</v>
      </c>
      <c r="U517" s="205"/>
    </row>
    <row r="518" spans="1:70" x14ac:dyDescent="0.25">
      <c r="A518" s="193">
        <f t="shared" si="55"/>
        <v>496</v>
      </c>
      <c r="B518" s="107">
        <f t="shared" si="56"/>
        <v>37</v>
      </c>
      <c r="C518" s="53" t="s">
        <v>75</v>
      </c>
      <c r="D518" s="107" t="s">
        <v>538</v>
      </c>
      <c r="E518" s="62">
        <f t="shared" si="54"/>
        <v>5085565.8713689651</v>
      </c>
      <c r="F518" s="55">
        <v>0</v>
      </c>
      <c r="G518" s="63">
        <v>0</v>
      </c>
      <c r="H518" s="63">
        <v>0</v>
      </c>
      <c r="I518" s="63">
        <v>0</v>
      </c>
      <c r="J518" s="63">
        <v>0</v>
      </c>
      <c r="K518" s="63"/>
      <c r="L518" s="55"/>
      <c r="M518" s="63">
        <v>0</v>
      </c>
      <c r="N518" s="63">
        <v>0</v>
      </c>
      <c r="O518" s="63">
        <v>0</v>
      </c>
      <c r="P518" s="63">
        <v>4644971.0999999996</v>
      </c>
      <c r="Q518" s="63">
        <v>0</v>
      </c>
      <c r="R518" s="63"/>
      <c r="S518" s="63"/>
      <c r="T518" s="64">
        <v>440594.77136896597</v>
      </c>
      <c r="U518" s="205"/>
    </row>
    <row r="519" spans="1:70" x14ac:dyDescent="0.25">
      <c r="A519" s="193">
        <f t="shared" si="55"/>
        <v>497</v>
      </c>
      <c r="B519" s="107">
        <f t="shared" si="56"/>
        <v>38</v>
      </c>
      <c r="C519" s="53" t="s">
        <v>75</v>
      </c>
      <c r="D519" s="107" t="s">
        <v>539</v>
      </c>
      <c r="E519" s="62">
        <f t="shared" si="54"/>
        <v>22291419.959569596</v>
      </c>
      <c r="F519" s="55">
        <v>16085062.249059699</v>
      </c>
      <c r="G519" s="63">
        <v>0</v>
      </c>
      <c r="H519" s="63">
        <v>0</v>
      </c>
      <c r="I519" s="63">
        <v>5223633.67</v>
      </c>
      <c r="J519" s="63">
        <v>0</v>
      </c>
      <c r="K519" s="63"/>
      <c r="L519" s="55">
        <v>519524.10398884001</v>
      </c>
      <c r="M519" s="63">
        <v>0</v>
      </c>
      <c r="N519" s="63">
        <v>0</v>
      </c>
      <c r="O519" s="63">
        <v>0</v>
      </c>
      <c r="P519" s="63">
        <v>0</v>
      </c>
      <c r="Q519" s="63">
        <v>0</v>
      </c>
      <c r="R519" s="63"/>
      <c r="S519" s="63"/>
      <c r="T519" s="64">
        <v>463199.93652105302</v>
      </c>
      <c r="U519" s="205"/>
    </row>
    <row r="520" spans="1:70" x14ac:dyDescent="0.25">
      <c r="A520" s="193">
        <f t="shared" si="55"/>
        <v>498</v>
      </c>
      <c r="B520" s="107">
        <f t="shared" si="56"/>
        <v>39</v>
      </c>
      <c r="C520" s="53" t="s">
        <v>75</v>
      </c>
      <c r="D520" s="107" t="s">
        <v>540</v>
      </c>
      <c r="E520" s="62">
        <f t="shared" si="54"/>
        <v>21190509.697999999</v>
      </c>
      <c r="F520" s="55">
        <v>0</v>
      </c>
      <c r="G520" s="63">
        <v>0</v>
      </c>
      <c r="H520" s="63">
        <v>0</v>
      </c>
      <c r="I520" s="63">
        <v>0</v>
      </c>
      <c r="J520" s="63">
        <v>0</v>
      </c>
      <c r="K520" s="63"/>
      <c r="L520" s="55"/>
      <c r="M520" s="63">
        <v>0</v>
      </c>
      <c r="N520" s="63">
        <v>0</v>
      </c>
      <c r="O520" s="63">
        <v>0</v>
      </c>
      <c r="P520" s="63">
        <v>20737032.790462799</v>
      </c>
      <c r="Q520" s="63">
        <v>0</v>
      </c>
      <c r="R520" s="63"/>
      <c r="S520" s="63"/>
      <c r="T520" s="64">
        <v>453476.90753720002</v>
      </c>
      <c r="U520" s="205"/>
    </row>
    <row r="521" spans="1:70" x14ac:dyDescent="0.25">
      <c r="A521" s="193">
        <f t="shared" si="55"/>
        <v>499</v>
      </c>
      <c r="B521" s="107">
        <f t="shared" si="56"/>
        <v>40</v>
      </c>
      <c r="C521" s="53" t="s">
        <v>75</v>
      </c>
      <c r="D521" s="107" t="s">
        <v>541</v>
      </c>
      <c r="E521" s="62">
        <f t="shared" si="54"/>
        <v>4331012.6883032499</v>
      </c>
      <c r="F521" s="55"/>
      <c r="G521" s="63">
        <v>0</v>
      </c>
      <c r="H521" s="63">
        <v>0</v>
      </c>
      <c r="I521" s="63">
        <v>0</v>
      </c>
      <c r="J521" s="63">
        <v>0</v>
      </c>
      <c r="K521" s="63"/>
      <c r="L521" s="55"/>
      <c r="M521" s="63"/>
      <c r="N521" s="63"/>
      <c r="O521" s="63"/>
      <c r="P521" s="63">
        <v>3991525.06</v>
      </c>
      <c r="Q521" s="63">
        <v>0</v>
      </c>
      <c r="R521" s="63"/>
      <c r="S521" s="63"/>
      <c r="T521" s="64">
        <v>339487.62830325001</v>
      </c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</row>
    <row r="522" spans="1:70" x14ac:dyDescent="0.25">
      <c r="A522" s="193">
        <f t="shared" si="55"/>
        <v>500</v>
      </c>
      <c r="B522" s="107">
        <f t="shared" si="56"/>
        <v>41</v>
      </c>
      <c r="C522" s="53" t="s">
        <v>75</v>
      </c>
      <c r="D522" s="107" t="s">
        <v>542</v>
      </c>
      <c r="E522" s="62">
        <f t="shared" si="54"/>
        <v>3925263.2927938583</v>
      </c>
      <c r="F522" s="55">
        <v>0</v>
      </c>
      <c r="G522" s="63">
        <v>0</v>
      </c>
      <c r="H522" s="63">
        <v>3841262.6583280698</v>
      </c>
      <c r="I522" s="63">
        <v>0</v>
      </c>
      <c r="J522" s="63">
        <v>0</v>
      </c>
      <c r="K522" s="63"/>
      <c r="L522" s="55"/>
      <c r="M522" s="63">
        <v>0</v>
      </c>
      <c r="N522" s="63">
        <v>0</v>
      </c>
      <c r="O522" s="63">
        <v>0</v>
      </c>
      <c r="P522" s="63">
        <v>0</v>
      </c>
      <c r="Q522" s="63">
        <v>0</v>
      </c>
      <c r="R522" s="63"/>
      <c r="S522" s="63"/>
      <c r="T522" s="64">
        <v>84000.634465788506</v>
      </c>
      <c r="U522" s="205"/>
    </row>
    <row r="523" spans="1:70" x14ac:dyDescent="0.25">
      <c r="A523" s="193">
        <f t="shared" si="55"/>
        <v>501</v>
      </c>
      <c r="B523" s="107">
        <f t="shared" si="56"/>
        <v>42</v>
      </c>
      <c r="C523" s="53" t="s">
        <v>75</v>
      </c>
      <c r="D523" s="107" t="s">
        <v>84</v>
      </c>
      <c r="E523" s="62">
        <f t="shared" si="54"/>
        <v>3065056.7996259257</v>
      </c>
      <c r="F523" s="55"/>
      <c r="G523" s="63"/>
      <c r="H523" s="63">
        <v>2965260.2806766802</v>
      </c>
      <c r="I523" s="63">
        <v>0</v>
      </c>
      <c r="J523" s="63"/>
      <c r="K523" s="63"/>
      <c r="L523" s="55"/>
      <c r="M523" s="63"/>
      <c r="N523" s="63"/>
      <c r="O523" s="63">
        <v>0</v>
      </c>
      <c r="P523" s="63">
        <v>0</v>
      </c>
      <c r="Q523" s="63">
        <v>0</v>
      </c>
      <c r="R523" s="63"/>
      <c r="S523" s="63"/>
      <c r="T523" s="64">
        <v>99796.518949245699</v>
      </c>
      <c r="U523" s="205"/>
    </row>
    <row r="524" spans="1:70" x14ac:dyDescent="0.25">
      <c r="A524" s="193">
        <f t="shared" si="55"/>
        <v>502</v>
      </c>
      <c r="B524" s="107">
        <f t="shared" si="56"/>
        <v>43</v>
      </c>
      <c r="C524" s="53" t="s">
        <v>75</v>
      </c>
      <c r="D524" s="107" t="s">
        <v>543</v>
      </c>
      <c r="E524" s="62">
        <f t="shared" si="54"/>
        <v>7596756.2910677949</v>
      </c>
      <c r="F524" s="55">
        <v>7116553.6781660998</v>
      </c>
      <c r="G524" s="63">
        <v>0</v>
      </c>
      <c r="H524" s="63">
        <v>0</v>
      </c>
      <c r="I524" s="63">
        <v>0</v>
      </c>
      <c r="J524" s="63">
        <v>0</v>
      </c>
      <c r="K524" s="63"/>
      <c r="L524" s="55">
        <v>317632.02827284398</v>
      </c>
      <c r="M524" s="63">
        <v>0</v>
      </c>
      <c r="N524" s="63">
        <v>0</v>
      </c>
      <c r="O524" s="63">
        <v>0</v>
      </c>
      <c r="P524" s="63">
        <v>0</v>
      </c>
      <c r="Q524" s="63">
        <v>0</v>
      </c>
      <c r="R524" s="63"/>
      <c r="S524" s="63"/>
      <c r="T524" s="64">
        <v>162570.58462885101</v>
      </c>
      <c r="U524" s="205"/>
    </row>
    <row r="525" spans="1:70" x14ac:dyDescent="0.25">
      <c r="A525" s="193">
        <f t="shared" si="55"/>
        <v>503</v>
      </c>
      <c r="B525" s="107">
        <f t="shared" si="56"/>
        <v>44</v>
      </c>
      <c r="C525" s="53" t="s">
        <v>75</v>
      </c>
      <c r="D525" s="107" t="s">
        <v>544</v>
      </c>
      <c r="E525" s="62">
        <f t="shared" si="54"/>
        <v>2085412.760843613</v>
      </c>
      <c r="F525" s="55"/>
      <c r="G525" s="63">
        <v>0</v>
      </c>
      <c r="H525" s="63">
        <v>1897284.43913911</v>
      </c>
      <c r="I525" s="63">
        <v>0</v>
      </c>
      <c r="J525" s="63">
        <v>0</v>
      </c>
      <c r="K525" s="63"/>
      <c r="L525" s="55"/>
      <c r="M525" s="63">
        <v>0</v>
      </c>
      <c r="N525" s="63">
        <v>0</v>
      </c>
      <c r="O525" s="63">
        <v>0</v>
      </c>
      <c r="P525" s="63">
        <v>0</v>
      </c>
      <c r="Q525" s="63">
        <v>0</v>
      </c>
      <c r="R525" s="63"/>
      <c r="S525" s="63"/>
      <c r="T525" s="64">
        <v>188128.321704503</v>
      </c>
      <c r="U525" s="205"/>
    </row>
    <row r="526" spans="1:70" x14ac:dyDescent="0.25">
      <c r="A526" s="193">
        <f t="shared" si="55"/>
        <v>504</v>
      </c>
      <c r="B526" s="107">
        <f t="shared" si="56"/>
        <v>45</v>
      </c>
      <c r="C526" s="53" t="s">
        <v>75</v>
      </c>
      <c r="D526" s="107" t="s">
        <v>545</v>
      </c>
      <c r="E526" s="62">
        <f t="shared" si="54"/>
        <v>34449317.113817342</v>
      </c>
      <c r="F526" s="55">
        <v>0</v>
      </c>
      <c r="G526" s="63">
        <v>0</v>
      </c>
      <c r="H526" s="63">
        <v>0</v>
      </c>
      <c r="I526" s="63">
        <v>0</v>
      </c>
      <c r="J526" s="63">
        <v>0</v>
      </c>
      <c r="K526" s="63"/>
      <c r="L526" s="55"/>
      <c r="M526" s="63">
        <v>0</v>
      </c>
      <c r="N526" s="63">
        <v>0</v>
      </c>
      <c r="O526" s="63">
        <v>9755981.0283780508</v>
      </c>
      <c r="P526" s="63">
        <v>23956120.699203599</v>
      </c>
      <c r="Q526" s="63">
        <v>0</v>
      </c>
      <c r="R526" s="63"/>
      <c r="S526" s="63"/>
      <c r="T526" s="64">
        <v>737215.38623569196</v>
      </c>
      <c r="U526" s="205"/>
    </row>
    <row r="527" spans="1:70" x14ac:dyDescent="0.25">
      <c r="A527" s="193">
        <f t="shared" si="55"/>
        <v>505</v>
      </c>
      <c r="B527" s="107">
        <f t="shared" si="56"/>
        <v>46</v>
      </c>
      <c r="C527" s="53" t="s">
        <v>78</v>
      </c>
      <c r="D527" s="107" t="s">
        <v>546</v>
      </c>
      <c r="E527" s="62">
        <f t="shared" si="54"/>
        <v>17956800</v>
      </c>
      <c r="F527" s="55"/>
      <c r="G527" s="63"/>
      <c r="H527" s="63"/>
      <c r="I527" s="63"/>
      <c r="J527" s="63"/>
      <c r="K527" s="63"/>
      <c r="L527" s="55"/>
      <c r="M527" s="63">
        <f>5*3591360</f>
        <v>17956800</v>
      </c>
      <c r="N527" s="63"/>
      <c r="O527" s="63"/>
      <c r="P527" s="63"/>
      <c r="Q527" s="63"/>
      <c r="R527" s="63"/>
      <c r="S527" s="63"/>
      <c r="T527" s="64"/>
      <c r="U527" s="205"/>
    </row>
    <row r="528" spans="1:70" x14ac:dyDescent="0.25">
      <c r="A528" s="193">
        <f t="shared" si="55"/>
        <v>506</v>
      </c>
      <c r="B528" s="107">
        <f t="shared" si="56"/>
        <v>47</v>
      </c>
      <c r="C528" s="53" t="s">
        <v>78</v>
      </c>
      <c r="D528" s="107" t="s">
        <v>547</v>
      </c>
      <c r="E528" s="62">
        <f t="shared" si="54"/>
        <v>17956800</v>
      </c>
      <c r="F528" s="55"/>
      <c r="G528" s="63"/>
      <c r="H528" s="63"/>
      <c r="I528" s="63"/>
      <c r="J528" s="63"/>
      <c r="K528" s="63"/>
      <c r="L528" s="55"/>
      <c r="M528" s="63">
        <f>5*3591360</f>
        <v>17956800</v>
      </c>
      <c r="N528" s="63"/>
      <c r="O528" s="63"/>
      <c r="P528" s="63"/>
      <c r="Q528" s="63"/>
      <c r="R528" s="63"/>
      <c r="S528" s="63"/>
      <c r="T528" s="64"/>
      <c r="U528" s="205"/>
    </row>
    <row r="529" spans="1:21" x14ac:dyDescent="0.25">
      <c r="A529" s="193">
        <f t="shared" si="55"/>
        <v>507</v>
      </c>
      <c r="B529" s="107">
        <f t="shared" si="56"/>
        <v>48</v>
      </c>
      <c r="C529" s="53" t="s">
        <v>75</v>
      </c>
      <c r="D529" s="107" t="s">
        <v>548</v>
      </c>
      <c r="E529" s="62">
        <f t="shared" si="54"/>
        <v>3452925.6888822401</v>
      </c>
      <c r="F529" s="55">
        <v>0</v>
      </c>
      <c r="G529" s="63">
        <v>0</v>
      </c>
      <c r="H529" s="63">
        <v>0</v>
      </c>
      <c r="I529" s="63">
        <v>0</v>
      </c>
      <c r="J529" s="63">
        <v>0</v>
      </c>
      <c r="K529" s="63"/>
      <c r="L529" s="55"/>
      <c r="M529" s="63">
        <v>0</v>
      </c>
      <c r="N529" s="63">
        <v>3174109.11127616</v>
      </c>
      <c r="O529" s="63">
        <v>0</v>
      </c>
      <c r="P529" s="63">
        <v>0</v>
      </c>
      <c r="Q529" s="63">
        <v>0</v>
      </c>
      <c r="R529" s="63">
        <v>69397.240000000005</v>
      </c>
      <c r="S529" s="63">
        <v>140008</v>
      </c>
      <c r="T529" s="64">
        <v>69411.337606079993</v>
      </c>
      <c r="U529" s="205"/>
    </row>
    <row r="530" spans="1:21" x14ac:dyDescent="0.25">
      <c r="A530" s="193">
        <f t="shared" si="55"/>
        <v>508</v>
      </c>
      <c r="B530" s="107">
        <f t="shared" si="56"/>
        <v>49</v>
      </c>
      <c r="C530" s="53" t="s">
        <v>75</v>
      </c>
      <c r="D530" s="107" t="s">
        <v>549</v>
      </c>
      <c r="E530" s="62">
        <f t="shared" si="54"/>
        <v>13658527.331466073</v>
      </c>
      <c r="F530" s="55"/>
      <c r="G530" s="63">
        <v>3497984.6377121601</v>
      </c>
      <c r="H530" s="63">
        <v>0</v>
      </c>
      <c r="I530" s="63">
        <v>0</v>
      </c>
      <c r="J530" s="63">
        <v>0</v>
      </c>
      <c r="K530" s="63"/>
      <c r="L530" s="55">
        <v>0</v>
      </c>
      <c r="M530" s="63"/>
      <c r="N530" s="63">
        <v>3471145.3937748601</v>
      </c>
      <c r="O530" s="63">
        <v>6079022.2564176796</v>
      </c>
      <c r="P530" s="63">
        <v>0</v>
      </c>
      <c r="Q530" s="63">
        <v>0</v>
      </c>
      <c r="R530" s="63">
        <v>295882.13</v>
      </c>
      <c r="S530" s="63">
        <v>29156.25</v>
      </c>
      <c r="T530" s="64">
        <v>285336.66356137401</v>
      </c>
      <c r="U530" s="205"/>
    </row>
    <row r="531" spans="1:21" x14ac:dyDescent="0.25">
      <c r="A531" s="193">
        <f t="shared" si="55"/>
        <v>509</v>
      </c>
      <c r="B531" s="107">
        <f t="shared" si="56"/>
        <v>50</v>
      </c>
      <c r="C531" s="53" t="s">
        <v>75</v>
      </c>
      <c r="D531" s="107" t="s">
        <v>85</v>
      </c>
      <c r="E531" s="62">
        <f t="shared" si="54"/>
        <v>5964947.0233067553</v>
      </c>
      <c r="F531" s="55"/>
      <c r="G531" s="63"/>
      <c r="H531" s="63">
        <v>5837297.1570079904</v>
      </c>
      <c r="I531" s="63"/>
      <c r="J531" s="63"/>
      <c r="K531" s="63"/>
      <c r="L531" s="55"/>
      <c r="M531" s="63"/>
      <c r="N531" s="63"/>
      <c r="O531" s="63"/>
      <c r="P531" s="63">
        <v>0</v>
      </c>
      <c r="Q531" s="63">
        <v>0</v>
      </c>
      <c r="R531" s="63"/>
      <c r="S531" s="63"/>
      <c r="T531" s="64">
        <v>127649.866298765</v>
      </c>
      <c r="U531" s="205"/>
    </row>
    <row r="532" spans="1:21" x14ac:dyDescent="0.25">
      <c r="A532" s="193">
        <f t="shared" si="55"/>
        <v>510</v>
      </c>
      <c r="B532" s="107">
        <f t="shared" si="56"/>
        <v>51</v>
      </c>
      <c r="C532" s="53" t="s">
        <v>75</v>
      </c>
      <c r="D532" s="107" t="s">
        <v>86</v>
      </c>
      <c r="E532" s="62">
        <f t="shared" si="54"/>
        <v>4916517.9743421944</v>
      </c>
      <c r="F532" s="55"/>
      <c r="G532" s="63"/>
      <c r="H532" s="63"/>
      <c r="I532" s="63"/>
      <c r="J532" s="63">
        <v>0</v>
      </c>
      <c r="K532" s="63"/>
      <c r="L532" s="55"/>
      <c r="M532" s="63">
        <v>0</v>
      </c>
      <c r="N532" s="63">
        <v>0</v>
      </c>
      <c r="O532" s="63">
        <v>3968655.74</v>
      </c>
      <c r="P532" s="63">
        <v>0</v>
      </c>
      <c r="Q532" s="63">
        <v>0</v>
      </c>
      <c r="R532" s="63"/>
      <c r="S532" s="63"/>
      <c r="T532" s="64">
        <v>947862.23434219405</v>
      </c>
      <c r="U532" s="205"/>
    </row>
    <row r="533" spans="1:21" x14ac:dyDescent="0.25">
      <c r="A533" s="193">
        <f t="shared" si="55"/>
        <v>511</v>
      </c>
      <c r="B533" s="107">
        <f t="shared" si="56"/>
        <v>52</v>
      </c>
      <c r="C533" s="53" t="s">
        <v>75</v>
      </c>
      <c r="D533" s="107" t="s">
        <v>89</v>
      </c>
      <c r="E533" s="62">
        <f t="shared" si="54"/>
        <v>2204474.6956677088</v>
      </c>
      <c r="F533" s="55"/>
      <c r="G533" s="63"/>
      <c r="H533" s="63">
        <v>2157298.9371804199</v>
      </c>
      <c r="I533" s="63"/>
      <c r="J533" s="63">
        <v>0</v>
      </c>
      <c r="K533" s="63"/>
      <c r="L533" s="55"/>
      <c r="M533" s="63">
        <v>0</v>
      </c>
      <c r="N533" s="63">
        <v>0</v>
      </c>
      <c r="O533" s="63"/>
      <c r="P533" s="63">
        <v>0</v>
      </c>
      <c r="Q533" s="63">
        <v>0</v>
      </c>
      <c r="R533" s="63"/>
      <c r="S533" s="63"/>
      <c r="T533" s="64">
        <v>47175.758487289</v>
      </c>
      <c r="U533" s="205"/>
    </row>
    <row r="534" spans="1:21" x14ac:dyDescent="0.25">
      <c r="A534" s="193">
        <f t="shared" si="55"/>
        <v>512</v>
      </c>
      <c r="B534" s="107">
        <f t="shared" si="56"/>
        <v>53</v>
      </c>
      <c r="C534" s="53" t="s">
        <v>75</v>
      </c>
      <c r="D534" s="107" t="s">
        <v>90</v>
      </c>
      <c r="E534" s="62">
        <f t="shared" si="54"/>
        <v>1338332.7178491482</v>
      </c>
      <c r="F534" s="55"/>
      <c r="G534" s="63"/>
      <c r="H534" s="63"/>
      <c r="I534" s="63"/>
      <c r="J534" s="63"/>
      <c r="K534" s="63"/>
      <c r="L534" s="55"/>
      <c r="M534" s="63">
        <v>0</v>
      </c>
      <c r="N534" s="63">
        <v>0</v>
      </c>
      <c r="O534" s="63">
        <v>1088656.8700000001</v>
      </c>
      <c r="P534" s="63">
        <v>0</v>
      </c>
      <c r="Q534" s="63">
        <v>0</v>
      </c>
      <c r="R534" s="63"/>
      <c r="S534" s="63"/>
      <c r="T534" s="64">
        <v>249675.84784914801</v>
      </c>
      <c r="U534" s="205"/>
    </row>
    <row r="535" spans="1:21" x14ac:dyDescent="0.25">
      <c r="A535" s="193">
        <f t="shared" si="55"/>
        <v>513</v>
      </c>
      <c r="B535" s="107">
        <f t="shared" si="56"/>
        <v>54</v>
      </c>
      <c r="C535" s="53" t="s">
        <v>75</v>
      </c>
      <c r="D535" s="107" t="s">
        <v>550</v>
      </c>
      <c r="E535" s="62">
        <f t="shared" si="54"/>
        <v>2354342.2921141051</v>
      </c>
      <c r="F535" s="55"/>
      <c r="G535" s="63"/>
      <c r="H535" s="63">
        <v>1971493.36995265</v>
      </c>
      <c r="I535" s="63"/>
      <c r="J535" s="63">
        <v>0</v>
      </c>
      <c r="K535" s="63"/>
      <c r="L535" s="55"/>
      <c r="M535" s="63">
        <v>0</v>
      </c>
      <c r="N535" s="63">
        <v>0</v>
      </c>
      <c r="O535" s="63"/>
      <c r="P535" s="63">
        <v>0</v>
      </c>
      <c r="Q535" s="63">
        <v>0</v>
      </c>
      <c r="R535" s="63"/>
      <c r="S535" s="63"/>
      <c r="T535" s="64">
        <v>382848.92216145498</v>
      </c>
      <c r="U535" s="205"/>
    </row>
    <row r="536" spans="1:21" x14ac:dyDescent="0.25">
      <c r="A536" s="193">
        <f t="shared" si="55"/>
        <v>514</v>
      </c>
      <c r="B536" s="107">
        <f t="shared" si="56"/>
        <v>55</v>
      </c>
      <c r="C536" s="53" t="s">
        <v>75</v>
      </c>
      <c r="D536" s="107" t="s">
        <v>551</v>
      </c>
      <c r="E536" s="62">
        <f t="shared" si="54"/>
        <v>25882743.188000001</v>
      </c>
      <c r="F536" s="55">
        <v>0</v>
      </c>
      <c r="G536" s="63">
        <v>0</v>
      </c>
      <c r="H536" s="63">
        <v>0</v>
      </c>
      <c r="I536" s="63">
        <v>0</v>
      </c>
      <c r="J536" s="63">
        <v>0</v>
      </c>
      <c r="K536" s="63"/>
      <c r="L536" s="55"/>
      <c r="M536" s="63">
        <v>0</v>
      </c>
      <c r="N536" s="63">
        <v>0</v>
      </c>
      <c r="O536" s="63">
        <v>0</v>
      </c>
      <c r="P536" s="63">
        <v>25328852.4837768</v>
      </c>
      <c r="Q536" s="63">
        <v>0</v>
      </c>
      <c r="R536" s="63"/>
      <c r="S536" s="63"/>
      <c r="T536" s="64">
        <v>553890.70422319998</v>
      </c>
      <c r="U536" s="205"/>
    </row>
    <row r="537" spans="1:21" x14ac:dyDescent="0.25">
      <c r="A537" s="193">
        <f t="shared" si="55"/>
        <v>515</v>
      </c>
      <c r="B537" s="107">
        <f t="shared" si="56"/>
        <v>56</v>
      </c>
      <c r="C537" s="53" t="s">
        <v>75</v>
      </c>
      <c r="D537" s="107" t="s">
        <v>461</v>
      </c>
      <c r="E537" s="62">
        <f t="shared" si="54"/>
        <v>12984744.641494039</v>
      </c>
      <c r="F537" s="55"/>
      <c r="G537" s="63">
        <v>7852851.42133338</v>
      </c>
      <c r="H537" s="63">
        <v>0</v>
      </c>
      <c r="I537" s="63">
        <v>4638601.5713897999</v>
      </c>
      <c r="J537" s="63">
        <v>0</v>
      </c>
      <c r="K537" s="63"/>
      <c r="L537" s="55"/>
      <c r="M537" s="63">
        <v>0</v>
      </c>
      <c r="N537" s="63">
        <v>0</v>
      </c>
      <c r="O537" s="63">
        <v>0</v>
      </c>
      <c r="P537" s="63">
        <v>0</v>
      </c>
      <c r="Q537" s="63">
        <v>0</v>
      </c>
      <c r="R537" s="63"/>
      <c r="S537" s="63"/>
      <c r="T537" s="64">
        <v>493291.648770859</v>
      </c>
      <c r="U537" s="205"/>
    </row>
    <row r="538" spans="1:21" x14ac:dyDescent="0.25">
      <c r="A538" s="193">
        <f t="shared" si="55"/>
        <v>516</v>
      </c>
      <c r="B538" s="107">
        <f t="shared" si="56"/>
        <v>57</v>
      </c>
      <c r="C538" s="53" t="s">
        <v>78</v>
      </c>
      <c r="D538" s="107" t="s">
        <v>553</v>
      </c>
      <c r="E538" s="62">
        <f t="shared" si="54"/>
        <v>2916920.8812000002</v>
      </c>
      <c r="F538" s="55"/>
      <c r="G538" s="63"/>
      <c r="H538" s="63"/>
      <c r="I538" s="63"/>
      <c r="J538" s="63"/>
      <c r="K538" s="63"/>
      <c r="L538" s="55"/>
      <c r="M538" s="62">
        <v>2704312.41</v>
      </c>
      <c r="N538" s="63"/>
      <c r="O538" s="63"/>
      <c r="P538" s="63"/>
      <c r="Q538" s="63"/>
      <c r="R538" s="62">
        <v>110716.57</v>
      </c>
      <c r="S538" s="62">
        <v>14147.45</v>
      </c>
      <c r="T538" s="64">
        <v>87744.451199999996</v>
      </c>
      <c r="U538" s="205"/>
    </row>
    <row r="539" spans="1:21" x14ac:dyDescent="0.25">
      <c r="A539" s="193">
        <f t="shared" si="55"/>
        <v>517</v>
      </c>
      <c r="B539" s="107">
        <f t="shared" si="56"/>
        <v>58</v>
      </c>
      <c r="C539" s="53" t="s">
        <v>75</v>
      </c>
      <c r="D539" s="107" t="s">
        <v>554</v>
      </c>
      <c r="E539" s="62">
        <f t="shared" si="54"/>
        <v>19703004.987476192</v>
      </c>
      <c r="F539" s="55">
        <v>0</v>
      </c>
      <c r="G539" s="63">
        <v>0</v>
      </c>
      <c r="H539" s="63">
        <v>0</v>
      </c>
      <c r="I539" s="63">
        <v>0</v>
      </c>
      <c r="J539" s="63">
        <v>0</v>
      </c>
      <c r="K539" s="63"/>
      <c r="L539" s="55"/>
      <c r="M539" s="63">
        <v>0</v>
      </c>
      <c r="N539" s="63">
        <v>0</v>
      </c>
      <c r="O539" s="63">
        <v>0</v>
      </c>
      <c r="P539" s="63">
        <v>19281360.680744201</v>
      </c>
      <c r="Q539" s="63">
        <v>0</v>
      </c>
      <c r="R539" s="63"/>
      <c r="S539" s="63"/>
      <c r="T539" s="64">
        <v>421644.30673199001</v>
      </c>
      <c r="U539" s="205"/>
    </row>
    <row r="540" spans="1:21" x14ac:dyDescent="0.25">
      <c r="A540" s="193">
        <f t="shared" si="55"/>
        <v>518</v>
      </c>
      <c r="B540" s="107">
        <f t="shared" si="56"/>
        <v>59</v>
      </c>
      <c r="C540" s="53" t="s">
        <v>75</v>
      </c>
      <c r="D540" s="107" t="s">
        <v>555</v>
      </c>
      <c r="E540" s="62">
        <f t="shared" si="54"/>
        <v>22212728.051441502</v>
      </c>
      <c r="F540" s="55">
        <v>3221801.59</v>
      </c>
      <c r="G540" s="63">
        <v>2994835.8043932598</v>
      </c>
      <c r="H540" s="63">
        <v>1812454.0010526499</v>
      </c>
      <c r="I540" s="63">
        <v>1563879.48</v>
      </c>
      <c r="J540" s="63">
        <v>0</v>
      </c>
      <c r="K540" s="63"/>
      <c r="L540" s="55">
        <v>272494.70482550497</v>
      </c>
      <c r="M540" s="63">
        <v>0</v>
      </c>
      <c r="N540" s="63">
        <v>0</v>
      </c>
      <c r="O540" s="63">
        <v>0</v>
      </c>
      <c r="P540" s="63">
        <v>11783831.48</v>
      </c>
      <c r="Q540" s="63">
        <v>0</v>
      </c>
      <c r="R540" s="63"/>
      <c r="S540" s="63"/>
      <c r="T540" s="64">
        <v>563430.99117008597</v>
      </c>
      <c r="U540" s="205"/>
    </row>
    <row r="541" spans="1:21" x14ac:dyDescent="0.25">
      <c r="A541" s="193">
        <f t="shared" si="55"/>
        <v>519</v>
      </c>
      <c r="B541" s="107">
        <f t="shared" si="56"/>
        <v>60</v>
      </c>
      <c r="C541" s="53" t="s">
        <v>75</v>
      </c>
      <c r="D541" s="107" t="s">
        <v>556</v>
      </c>
      <c r="E541" s="62">
        <f t="shared" si="54"/>
        <v>8457334.6576008759</v>
      </c>
      <c r="F541" s="55">
        <v>7922733.5666669495</v>
      </c>
      <c r="G541" s="63">
        <v>0</v>
      </c>
      <c r="H541" s="63">
        <v>0</v>
      </c>
      <c r="I541" s="63">
        <v>0</v>
      </c>
      <c r="J541" s="63">
        <v>0</v>
      </c>
      <c r="K541" s="63"/>
      <c r="L541" s="55">
        <v>353614.12926126702</v>
      </c>
      <c r="M541" s="63">
        <v>0</v>
      </c>
      <c r="N541" s="63">
        <v>0</v>
      </c>
      <c r="O541" s="63">
        <v>0</v>
      </c>
      <c r="P541" s="63">
        <v>0</v>
      </c>
      <c r="Q541" s="63">
        <v>0</v>
      </c>
      <c r="R541" s="63"/>
      <c r="S541" s="63"/>
      <c r="T541" s="64">
        <v>180986.961672659</v>
      </c>
      <c r="U541" s="205"/>
    </row>
    <row r="542" spans="1:21" x14ac:dyDescent="0.25">
      <c r="A542" s="193">
        <f t="shared" si="55"/>
        <v>520</v>
      </c>
      <c r="B542" s="107">
        <f t="shared" si="56"/>
        <v>61</v>
      </c>
      <c r="C542" s="53" t="s">
        <v>75</v>
      </c>
      <c r="D542" s="107" t="s">
        <v>94</v>
      </c>
      <c r="E542" s="62">
        <f t="shared" si="54"/>
        <v>6634721.1916756183</v>
      </c>
      <c r="F542" s="55">
        <v>0</v>
      </c>
      <c r="G542" s="63">
        <v>0</v>
      </c>
      <c r="H542" s="63">
        <v>6492738.1581737604</v>
      </c>
      <c r="I542" s="63">
        <v>0</v>
      </c>
      <c r="J542" s="63">
        <v>0</v>
      </c>
      <c r="K542" s="63"/>
      <c r="L542" s="55"/>
      <c r="M542" s="63">
        <v>0</v>
      </c>
      <c r="N542" s="63">
        <v>0</v>
      </c>
      <c r="O542" s="63">
        <v>0</v>
      </c>
      <c r="P542" s="63"/>
      <c r="Q542" s="63">
        <v>0</v>
      </c>
      <c r="R542" s="63"/>
      <c r="S542" s="63"/>
      <c r="T542" s="64">
        <v>141983.03350185801</v>
      </c>
      <c r="U542" s="205"/>
    </row>
    <row r="543" spans="1:21" x14ac:dyDescent="0.25">
      <c r="A543" s="193">
        <f t="shared" si="55"/>
        <v>521</v>
      </c>
      <c r="B543" s="107">
        <f t="shared" si="56"/>
        <v>62</v>
      </c>
      <c r="C543" s="53" t="s">
        <v>78</v>
      </c>
      <c r="D543" s="107" t="s">
        <v>557</v>
      </c>
      <c r="E543" s="62">
        <f t="shared" si="54"/>
        <v>3591360.0000000023</v>
      </c>
      <c r="F543" s="55"/>
      <c r="G543" s="63"/>
      <c r="H543" s="63"/>
      <c r="I543" s="63"/>
      <c r="J543" s="63"/>
      <c r="K543" s="63"/>
      <c r="L543" s="55"/>
      <c r="M543" s="63">
        <v>3388344.6460698801</v>
      </c>
      <c r="N543" s="63"/>
      <c r="O543" s="63"/>
      <c r="P543" s="63"/>
      <c r="Q543" s="63"/>
      <c r="R543" s="63">
        <v>104919.11907840001</v>
      </c>
      <c r="S543" s="63">
        <v>24000</v>
      </c>
      <c r="T543" s="64">
        <v>74096.234851722198</v>
      </c>
      <c r="U543" s="205"/>
    </row>
    <row r="544" spans="1:21" x14ac:dyDescent="0.25">
      <c r="A544" s="193">
        <f t="shared" si="55"/>
        <v>522</v>
      </c>
      <c r="B544" s="107">
        <f t="shared" si="56"/>
        <v>63</v>
      </c>
      <c r="C544" s="53" t="s">
        <v>75</v>
      </c>
      <c r="D544" s="107" t="s">
        <v>558</v>
      </c>
      <c r="E544" s="62">
        <f t="shared" si="54"/>
        <v>13076420.52255621</v>
      </c>
      <c r="F544" s="55">
        <v>7984235.7978000101</v>
      </c>
      <c r="G544" s="63">
        <v>4159770.8879819401</v>
      </c>
      <c r="H544" s="63">
        <v>0</v>
      </c>
      <c r="I544" s="63">
        <v>0</v>
      </c>
      <c r="J544" s="63">
        <v>0</v>
      </c>
      <c r="K544" s="63"/>
      <c r="L544" s="55">
        <v>652578.43759155599</v>
      </c>
      <c r="M544" s="63">
        <v>0</v>
      </c>
      <c r="N544" s="63"/>
      <c r="O544" s="63"/>
      <c r="P544" s="63"/>
      <c r="Q544" s="63">
        <v>0</v>
      </c>
      <c r="R544" s="63"/>
      <c r="S544" s="63"/>
      <c r="T544" s="64">
        <v>279835.399182703</v>
      </c>
      <c r="U544" s="205"/>
    </row>
    <row r="545" spans="1:21" x14ac:dyDescent="0.25">
      <c r="A545" s="193">
        <f t="shared" si="55"/>
        <v>523</v>
      </c>
      <c r="B545" s="107">
        <f t="shared" si="56"/>
        <v>64</v>
      </c>
      <c r="C545" s="53" t="s">
        <v>75</v>
      </c>
      <c r="D545" s="107" t="s">
        <v>559</v>
      </c>
      <c r="E545" s="62">
        <f t="shared" si="54"/>
        <v>17930144.012118179</v>
      </c>
      <c r="F545" s="55">
        <v>10224281.589162899</v>
      </c>
      <c r="G545" s="63">
        <v>4925359.9319616798</v>
      </c>
      <c r="H545" s="63">
        <v>2187734.91</v>
      </c>
      <c r="I545" s="63">
        <v>0</v>
      </c>
      <c r="J545" s="63">
        <v>0</v>
      </c>
      <c r="K545" s="63"/>
      <c r="L545" s="55">
        <v>330229.41716311901</v>
      </c>
      <c r="M545" s="63">
        <v>0</v>
      </c>
      <c r="N545" s="63">
        <v>0</v>
      </c>
      <c r="O545" s="63">
        <v>0</v>
      </c>
      <c r="P545" s="63">
        <v>0</v>
      </c>
      <c r="Q545" s="63">
        <v>0</v>
      </c>
      <c r="R545" s="63"/>
      <c r="S545" s="63"/>
      <c r="T545" s="64">
        <v>262538.16383048199</v>
      </c>
      <c r="U545" s="205"/>
    </row>
    <row r="546" spans="1:21" x14ac:dyDescent="0.25">
      <c r="A546" s="193">
        <f t="shared" si="55"/>
        <v>524</v>
      </c>
      <c r="B546" s="107">
        <f t="shared" ref="B546:B577" si="57">+B545+1</f>
        <v>65</v>
      </c>
      <c r="C546" s="53" t="s">
        <v>75</v>
      </c>
      <c r="D546" s="107" t="s">
        <v>560</v>
      </c>
      <c r="E546" s="62">
        <f t="shared" ref="E546:E609" si="58">SUBTOTAL(9, F546:T546)</f>
        <v>4870090.7241982725</v>
      </c>
      <c r="F546" s="55">
        <v>0</v>
      </c>
      <c r="G546" s="63">
        <v>0</v>
      </c>
      <c r="H546" s="63">
        <v>4765870.7827004297</v>
      </c>
      <c r="I546" s="63">
        <v>0</v>
      </c>
      <c r="J546" s="63">
        <v>0</v>
      </c>
      <c r="K546" s="63"/>
      <c r="L546" s="55"/>
      <c r="M546" s="63">
        <v>0</v>
      </c>
      <c r="N546" s="63">
        <v>0</v>
      </c>
      <c r="O546" s="63">
        <v>0</v>
      </c>
      <c r="P546" s="63">
        <v>0</v>
      </c>
      <c r="Q546" s="63">
        <v>0</v>
      </c>
      <c r="R546" s="63"/>
      <c r="S546" s="63"/>
      <c r="T546" s="64">
        <v>104219.941497843</v>
      </c>
      <c r="U546" s="205"/>
    </row>
    <row r="547" spans="1:21" x14ac:dyDescent="0.25">
      <c r="A547" s="193">
        <f t="shared" ref="A547:A610" si="59">+A546+1</f>
        <v>525</v>
      </c>
      <c r="B547" s="107">
        <f t="shared" si="57"/>
        <v>66</v>
      </c>
      <c r="C547" s="53" t="s">
        <v>75</v>
      </c>
      <c r="D547" s="107" t="s">
        <v>561</v>
      </c>
      <c r="E547" s="62">
        <f t="shared" si="58"/>
        <v>7639006.5090553956</v>
      </c>
      <c r="F547" s="55">
        <v>0</v>
      </c>
      <c r="G547" s="63">
        <v>0</v>
      </c>
      <c r="H547" s="63">
        <v>0</v>
      </c>
      <c r="I547" s="63">
        <v>0</v>
      </c>
      <c r="J547" s="63">
        <v>0</v>
      </c>
      <c r="K547" s="63"/>
      <c r="L547" s="55"/>
      <c r="M547" s="63">
        <v>0</v>
      </c>
      <c r="N547" s="63">
        <v>0</v>
      </c>
      <c r="O547" s="63">
        <v>7475531.7697616098</v>
      </c>
      <c r="P547" s="63">
        <v>0</v>
      </c>
      <c r="Q547" s="63">
        <v>0</v>
      </c>
      <c r="R547" s="63"/>
      <c r="S547" s="63"/>
      <c r="T547" s="64">
        <v>163474.739293786</v>
      </c>
      <c r="U547" s="205"/>
    </row>
    <row r="548" spans="1:21" x14ac:dyDescent="0.25">
      <c r="A548" s="193">
        <f t="shared" si="59"/>
        <v>526</v>
      </c>
      <c r="B548" s="107">
        <f t="shared" si="57"/>
        <v>67</v>
      </c>
      <c r="C548" s="53" t="s">
        <v>75</v>
      </c>
      <c r="D548" s="107" t="s">
        <v>562</v>
      </c>
      <c r="E548" s="62">
        <f t="shared" si="58"/>
        <v>9448623.270141121</v>
      </c>
      <c r="F548" s="55">
        <v>0</v>
      </c>
      <c r="G548" s="63">
        <v>0</v>
      </c>
      <c r="H548" s="63">
        <v>0</v>
      </c>
      <c r="I548" s="63">
        <v>0</v>
      </c>
      <c r="J548" s="63">
        <v>0</v>
      </c>
      <c r="K548" s="63"/>
      <c r="L548" s="55"/>
      <c r="M548" s="63">
        <v>0</v>
      </c>
      <c r="N548" s="63">
        <v>0</v>
      </c>
      <c r="O548" s="63">
        <v>9246422.7321601007</v>
      </c>
      <c r="P548" s="63">
        <v>0</v>
      </c>
      <c r="Q548" s="63">
        <v>0</v>
      </c>
      <c r="R548" s="63"/>
      <c r="S548" s="63"/>
      <c r="T548" s="64">
        <v>202200.53798102</v>
      </c>
      <c r="U548" s="205"/>
    </row>
    <row r="549" spans="1:21" x14ac:dyDescent="0.25">
      <c r="A549" s="193">
        <f t="shared" si="59"/>
        <v>527</v>
      </c>
      <c r="B549" s="107">
        <f t="shared" si="57"/>
        <v>68</v>
      </c>
      <c r="C549" s="53" t="s">
        <v>75</v>
      </c>
      <c r="D549" s="107" t="s">
        <v>563</v>
      </c>
      <c r="E549" s="62">
        <f t="shared" si="58"/>
        <v>8653558.6453949735</v>
      </c>
      <c r="F549" s="55">
        <v>6588114.6970215803</v>
      </c>
      <c r="G549" s="63">
        <v>0</v>
      </c>
      <c r="H549" s="63">
        <v>0</v>
      </c>
      <c r="I549" s="63">
        <v>1797689.29</v>
      </c>
      <c r="J549" s="63">
        <v>0</v>
      </c>
      <c r="K549" s="63"/>
      <c r="L549" s="55"/>
      <c r="M549" s="63">
        <v>0</v>
      </c>
      <c r="N549" s="63">
        <v>0</v>
      </c>
      <c r="O549" s="63"/>
      <c r="P549" s="63">
        <v>0</v>
      </c>
      <c r="Q549" s="63">
        <v>0</v>
      </c>
      <c r="R549" s="63"/>
      <c r="S549" s="63"/>
      <c r="T549" s="64">
        <v>267754.658373393</v>
      </c>
      <c r="U549" s="205"/>
    </row>
    <row r="550" spans="1:21" x14ac:dyDescent="0.25">
      <c r="A550" s="193">
        <f t="shared" si="59"/>
        <v>528</v>
      </c>
      <c r="B550" s="107">
        <f t="shared" si="57"/>
        <v>69</v>
      </c>
      <c r="C550" s="53" t="s">
        <v>75</v>
      </c>
      <c r="D550" s="107" t="s">
        <v>103</v>
      </c>
      <c r="E550" s="62">
        <f t="shared" si="58"/>
        <v>3347402.0227854382</v>
      </c>
      <c r="F550" s="55"/>
      <c r="G550" s="63"/>
      <c r="H550" s="63">
        <v>3275767.61949783</v>
      </c>
      <c r="I550" s="63"/>
      <c r="J550" s="63"/>
      <c r="K550" s="63"/>
      <c r="L550" s="55"/>
      <c r="M550" s="63"/>
      <c r="N550" s="63"/>
      <c r="O550" s="63">
        <v>0</v>
      </c>
      <c r="P550" s="63">
        <v>0</v>
      </c>
      <c r="Q550" s="63">
        <v>0</v>
      </c>
      <c r="R550" s="63"/>
      <c r="S550" s="63"/>
      <c r="T550" s="64">
        <v>71634.403287608293</v>
      </c>
      <c r="U550" s="205"/>
    </row>
    <row r="551" spans="1:21" x14ac:dyDescent="0.25">
      <c r="A551" s="193">
        <f t="shared" si="59"/>
        <v>529</v>
      </c>
      <c r="B551" s="107">
        <f t="shared" si="57"/>
        <v>70</v>
      </c>
      <c r="C551" s="53" t="s">
        <v>78</v>
      </c>
      <c r="D551" s="107" t="s">
        <v>564</v>
      </c>
      <c r="E551" s="62">
        <f t="shared" si="58"/>
        <v>14365440</v>
      </c>
      <c r="F551" s="55"/>
      <c r="G551" s="63"/>
      <c r="H551" s="63"/>
      <c r="I551" s="63"/>
      <c r="J551" s="63"/>
      <c r="K551" s="63"/>
      <c r="L551" s="55"/>
      <c r="M551" s="63">
        <v>13495698.80064</v>
      </c>
      <c r="N551" s="63"/>
      <c r="O551" s="63"/>
      <c r="P551" s="63"/>
      <c r="Q551" s="63"/>
      <c r="R551" s="63">
        <v>430963.20000000001</v>
      </c>
      <c r="S551" s="63">
        <v>143654.39999999999</v>
      </c>
      <c r="T551" s="64">
        <v>295123.59935999999</v>
      </c>
      <c r="U551" s="205"/>
    </row>
    <row r="552" spans="1:21" x14ac:dyDescent="0.25">
      <c r="A552" s="193">
        <f t="shared" si="59"/>
        <v>530</v>
      </c>
      <c r="B552" s="107">
        <f t="shared" si="57"/>
        <v>71</v>
      </c>
      <c r="C552" s="53" t="s">
        <v>75</v>
      </c>
      <c r="D552" s="107" t="s">
        <v>565</v>
      </c>
      <c r="E552" s="62">
        <f t="shared" si="58"/>
        <v>5076500.6375817228</v>
      </c>
      <c r="F552" s="55"/>
      <c r="G552" s="63"/>
      <c r="H552" s="63">
        <v>4496173.9029232701</v>
      </c>
      <c r="I552" s="63"/>
      <c r="J552" s="63">
        <v>0</v>
      </c>
      <c r="K552" s="63"/>
      <c r="L552" s="55"/>
      <c r="M552" s="63">
        <v>0</v>
      </c>
      <c r="N552" s="63">
        <v>0</v>
      </c>
      <c r="O552" s="63"/>
      <c r="P552" s="63">
        <v>0</v>
      </c>
      <c r="Q552" s="63">
        <v>0</v>
      </c>
      <c r="R552" s="63"/>
      <c r="S552" s="63"/>
      <c r="T552" s="64">
        <v>580326.73465845303</v>
      </c>
      <c r="U552" s="205"/>
    </row>
    <row r="553" spans="1:21" x14ac:dyDescent="0.25">
      <c r="A553" s="193">
        <f t="shared" si="59"/>
        <v>531</v>
      </c>
      <c r="B553" s="107">
        <f t="shared" si="57"/>
        <v>72</v>
      </c>
      <c r="C553" s="53" t="s">
        <v>75</v>
      </c>
      <c r="D553" s="107" t="s">
        <v>566</v>
      </c>
      <c r="E553" s="62">
        <f t="shared" si="58"/>
        <v>9608202.146264391</v>
      </c>
      <c r="F553" s="55">
        <v>0</v>
      </c>
      <c r="G553" s="63">
        <v>0</v>
      </c>
      <c r="H553" s="63">
        <v>0</v>
      </c>
      <c r="I553" s="63">
        <v>0</v>
      </c>
      <c r="J553" s="63">
        <v>0</v>
      </c>
      <c r="K553" s="63"/>
      <c r="L553" s="55"/>
      <c r="M553" s="63">
        <v>0</v>
      </c>
      <c r="N553" s="63">
        <v>0</v>
      </c>
      <c r="O553" s="63">
        <v>0</v>
      </c>
      <c r="P553" s="63">
        <v>9403121.0399999991</v>
      </c>
      <c r="Q553" s="63">
        <v>0</v>
      </c>
      <c r="R553" s="63"/>
      <c r="S553" s="63"/>
      <c r="T553" s="64">
        <v>205081.106264392</v>
      </c>
      <c r="U553" s="205"/>
    </row>
    <row r="554" spans="1:21" x14ac:dyDescent="0.25">
      <c r="A554" s="193">
        <f t="shared" si="59"/>
        <v>532</v>
      </c>
      <c r="B554" s="107">
        <f t="shared" si="57"/>
        <v>73</v>
      </c>
      <c r="C554" s="53" t="s">
        <v>75</v>
      </c>
      <c r="D554" s="107" t="s">
        <v>567</v>
      </c>
      <c r="E554" s="62">
        <f t="shared" si="58"/>
        <v>3803072.3128392436</v>
      </c>
      <c r="F554" s="55">
        <v>0</v>
      </c>
      <c r="G554" s="63">
        <v>0</v>
      </c>
      <c r="H554" s="63">
        <v>3722906.22</v>
      </c>
      <c r="I554" s="63">
        <v>0</v>
      </c>
      <c r="J554" s="63">
        <v>0</v>
      </c>
      <c r="K554" s="63"/>
      <c r="L554" s="55"/>
      <c r="M554" s="63">
        <v>0</v>
      </c>
      <c r="N554" s="63">
        <v>0</v>
      </c>
      <c r="O554" s="63">
        <v>0</v>
      </c>
      <c r="P554" s="63">
        <v>0</v>
      </c>
      <c r="Q554" s="63">
        <v>0</v>
      </c>
      <c r="R554" s="63"/>
      <c r="S554" s="63"/>
      <c r="T554" s="64">
        <v>80166.0928392434</v>
      </c>
      <c r="U554" s="205"/>
    </row>
    <row r="555" spans="1:21" x14ac:dyDescent="0.25">
      <c r="A555" s="193">
        <f t="shared" si="59"/>
        <v>533</v>
      </c>
      <c r="B555" s="107">
        <f t="shared" si="57"/>
        <v>74</v>
      </c>
      <c r="C555" s="53" t="s">
        <v>75</v>
      </c>
      <c r="D555" s="107" t="s">
        <v>463</v>
      </c>
      <c r="E555" s="62">
        <f t="shared" si="58"/>
        <v>4245972.5140081262</v>
      </c>
      <c r="F555" s="55"/>
      <c r="G555" s="63">
        <v>0</v>
      </c>
      <c r="H555" s="63">
        <v>3907208.0564832599</v>
      </c>
      <c r="I555" s="63">
        <v>0</v>
      </c>
      <c r="J555" s="63">
        <v>0</v>
      </c>
      <c r="K555" s="63"/>
      <c r="L555" s="55"/>
      <c r="M555" s="63">
        <v>0</v>
      </c>
      <c r="N555" s="63">
        <v>0</v>
      </c>
      <c r="O555" s="63">
        <v>0</v>
      </c>
      <c r="P555" s="63">
        <v>0</v>
      </c>
      <c r="Q555" s="63">
        <v>0</v>
      </c>
      <c r="R555" s="63"/>
      <c r="S555" s="63"/>
      <c r="T555" s="64">
        <v>338764.45752486598</v>
      </c>
      <c r="U555" s="205"/>
    </row>
    <row r="556" spans="1:21" x14ac:dyDescent="0.25">
      <c r="A556" s="193">
        <f t="shared" si="59"/>
        <v>534</v>
      </c>
      <c r="B556" s="107">
        <f t="shared" si="57"/>
        <v>75</v>
      </c>
      <c r="C556" s="53" t="s">
        <v>75</v>
      </c>
      <c r="D556" s="107" t="s">
        <v>568</v>
      </c>
      <c r="E556" s="62">
        <f t="shared" si="58"/>
        <v>13972173.255062845</v>
      </c>
      <c r="F556" s="55">
        <v>0</v>
      </c>
      <c r="G556" s="63">
        <v>0</v>
      </c>
      <c r="H556" s="63">
        <v>0</v>
      </c>
      <c r="I556" s="63">
        <v>0</v>
      </c>
      <c r="J556" s="63">
        <v>0</v>
      </c>
      <c r="K556" s="63"/>
      <c r="L556" s="55"/>
      <c r="M556" s="63">
        <v>0</v>
      </c>
      <c r="N556" s="63">
        <v>13673168.747404501</v>
      </c>
      <c r="O556" s="63">
        <v>0</v>
      </c>
      <c r="P556" s="63">
        <v>0</v>
      </c>
      <c r="Q556" s="63">
        <v>0</v>
      </c>
      <c r="R556" s="63"/>
      <c r="S556" s="63"/>
      <c r="T556" s="64">
        <v>299004.50765834399</v>
      </c>
      <c r="U556" s="205"/>
    </row>
    <row r="557" spans="1:21" x14ac:dyDescent="0.25">
      <c r="A557" s="193">
        <f t="shared" si="59"/>
        <v>535</v>
      </c>
      <c r="B557" s="107">
        <f t="shared" si="57"/>
        <v>76</v>
      </c>
      <c r="C557" s="53" t="s">
        <v>75</v>
      </c>
      <c r="D557" s="107" t="s">
        <v>464</v>
      </c>
      <c r="E557" s="62">
        <f t="shared" si="58"/>
        <v>13630832.755463308</v>
      </c>
      <c r="F557" s="55">
        <v>9909305.8300000001</v>
      </c>
      <c r="G557" s="63">
        <v>0</v>
      </c>
      <c r="H557" s="63">
        <v>0</v>
      </c>
      <c r="I557" s="63">
        <v>3466626.6149921198</v>
      </c>
      <c r="J557" s="63">
        <v>0</v>
      </c>
      <c r="K557" s="63"/>
      <c r="L557" s="55"/>
      <c r="M557" s="63">
        <v>0</v>
      </c>
      <c r="N557" s="63">
        <v>0</v>
      </c>
      <c r="O557" s="63">
        <v>0</v>
      </c>
      <c r="P557" s="63">
        <v>0</v>
      </c>
      <c r="Q557" s="63">
        <v>0</v>
      </c>
      <c r="R557" s="63"/>
      <c r="S557" s="63"/>
      <c r="T557" s="64">
        <v>254900.310471189</v>
      </c>
      <c r="U557" s="205"/>
    </row>
    <row r="558" spans="1:21" x14ac:dyDescent="0.25">
      <c r="A558" s="193">
        <f t="shared" si="59"/>
        <v>536</v>
      </c>
      <c r="B558" s="107">
        <f t="shared" si="57"/>
        <v>77</v>
      </c>
      <c r="C558" s="53" t="s">
        <v>75</v>
      </c>
      <c r="D558" s="107" t="s">
        <v>569</v>
      </c>
      <c r="E558" s="62">
        <f t="shared" si="58"/>
        <v>15225992.641180968</v>
      </c>
      <c r="F558" s="55">
        <v>10454253.24</v>
      </c>
      <c r="G558" s="63">
        <v>0</v>
      </c>
      <c r="H558" s="63">
        <v>0</v>
      </c>
      <c r="I558" s="63">
        <v>4494394.21</v>
      </c>
      <c r="J558" s="63">
        <v>0</v>
      </c>
      <c r="K558" s="63"/>
      <c r="L558" s="55"/>
      <c r="M558" s="63">
        <v>0</v>
      </c>
      <c r="N558" s="63">
        <v>0</v>
      </c>
      <c r="O558" s="63">
        <v>0</v>
      </c>
      <c r="P558" s="63">
        <v>0</v>
      </c>
      <c r="Q558" s="63">
        <v>0</v>
      </c>
      <c r="R558" s="63"/>
      <c r="S558" s="63"/>
      <c r="T558" s="64">
        <v>277345.19118096901</v>
      </c>
      <c r="U558" s="205"/>
    </row>
    <row r="559" spans="1:21" x14ac:dyDescent="0.25">
      <c r="A559" s="193">
        <f t="shared" si="59"/>
        <v>537</v>
      </c>
      <c r="B559" s="107">
        <f t="shared" si="57"/>
        <v>78</v>
      </c>
      <c r="C559" s="53" t="s">
        <v>75</v>
      </c>
      <c r="D559" s="107" t="s">
        <v>467</v>
      </c>
      <c r="E559" s="62">
        <f t="shared" si="58"/>
        <v>4384839.7268517371</v>
      </c>
      <c r="F559" s="55"/>
      <c r="G559" s="63"/>
      <c r="H559" s="63"/>
      <c r="I559" s="63"/>
      <c r="J559" s="63">
        <v>0</v>
      </c>
      <c r="K559" s="63"/>
      <c r="L559" s="55"/>
      <c r="M559" s="63">
        <v>0</v>
      </c>
      <c r="N559" s="63">
        <v>0</v>
      </c>
      <c r="O559" s="63">
        <v>4291004.1566971103</v>
      </c>
      <c r="P559" s="63">
        <v>0</v>
      </c>
      <c r="Q559" s="63">
        <v>0</v>
      </c>
      <c r="R559" s="63"/>
      <c r="S559" s="63"/>
      <c r="T559" s="64">
        <v>93835.570154627305</v>
      </c>
      <c r="U559" s="205"/>
    </row>
    <row r="560" spans="1:21" x14ac:dyDescent="0.25">
      <c r="A560" s="193">
        <f t="shared" si="59"/>
        <v>538</v>
      </c>
      <c r="B560" s="107">
        <f t="shared" si="57"/>
        <v>79</v>
      </c>
      <c r="C560" s="53" t="s">
        <v>75</v>
      </c>
      <c r="D560" s="107" t="s">
        <v>570</v>
      </c>
      <c r="E560" s="62">
        <f t="shared" si="58"/>
        <v>21989359.511146132</v>
      </c>
      <c r="F560" s="55">
        <v>0</v>
      </c>
      <c r="G560" s="63">
        <v>0</v>
      </c>
      <c r="H560" s="63">
        <v>0</v>
      </c>
      <c r="I560" s="63">
        <v>0</v>
      </c>
      <c r="J560" s="63">
        <v>0</v>
      </c>
      <c r="K560" s="63"/>
      <c r="L560" s="55"/>
      <c r="M560" s="63">
        <v>0</v>
      </c>
      <c r="N560" s="63">
        <v>8908740.4806679804</v>
      </c>
      <c r="O560" s="63">
        <v>0</v>
      </c>
      <c r="P560" s="63">
        <v>12608207.194969799</v>
      </c>
      <c r="Q560" s="63">
        <v>0</v>
      </c>
      <c r="R560" s="63"/>
      <c r="S560" s="63"/>
      <c r="T560" s="64">
        <v>472411.83550834999</v>
      </c>
      <c r="U560" s="205"/>
    </row>
    <row r="561" spans="1:70" x14ac:dyDescent="0.25">
      <c r="A561" s="193">
        <f t="shared" si="59"/>
        <v>539</v>
      </c>
      <c r="B561" s="107">
        <f t="shared" si="57"/>
        <v>80</v>
      </c>
      <c r="C561" s="53" t="s">
        <v>75</v>
      </c>
      <c r="D561" s="107" t="s">
        <v>571</v>
      </c>
      <c r="E561" s="62">
        <f t="shared" si="58"/>
        <v>31344693.113150056</v>
      </c>
      <c r="F561" s="55">
        <v>17650757.325178199</v>
      </c>
      <c r="G561" s="63">
        <v>0</v>
      </c>
      <c r="H561" s="63">
        <v>0</v>
      </c>
      <c r="I561" s="63">
        <v>5270628.8244372001</v>
      </c>
      <c r="J561" s="63">
        <v>0</v>
      </c>
      <c r="K561" s="63"/>
      <c r="L561" s="55">
        <v>521283.62919142901</v>
      </c>
      <c r="M561" s="63"/>
      <c r="N561" s="63">
        <v>6915276.4699999997</v>
      </c>
      <c r="O561" s="63">
        <v>0</v>
      </c>
      <c r="P561" s="63">
        <v>0</v>
      </c>
      <c r="Q561" s="63">
        <v>0</v>
      </c>
      <c r="R561" s="63"/>
      <c r="S561" s="63"/>
      <c r="T561" s="64">
        <v>986746.86434323096</v>
      </c>
      <c r="U561" s="205"/>
    </row>
    <row r="562" spans="1:70" x14ac:dyDescent="0.25">
      <c r="A562" s="193">
        <f t="shared" si="59"/>
        <v>540</v>
      </c>
      <c r="B562" s="107">
        <f t="shared" si="57"/>
        <v>81</v>
      </c>
      <c r="C562" s="53" t="s">
        <v>75</v>
      </c>
      <c r="D562" s="107" t="s">
        <v>572</v>
      </c>
      <c r="E562" s="62">
        <f t="shared" si="58"/>
        <v>4315572.9567321576</v>
      </c>
      <c r="F562" s="55"/>
      <c r="G562" s="63">
        <v>0</v>
      </c>
      <c r="H562" s="63">
        <v>4223219.6954580899</v>
      </c>
      <c r="I562" s="63">
        <v>0</v>
      </c>
      <c r="J562" s="63">
        <v>0</v>
      </c>
      <c r="K562" s="63"/>
      <c r="L562" s="55">
        <v>0</v>
      </c>
      <c r="M562" s="63">
        <v>0</v>
      </c>
      <c r="N562" s="63">
        <v>0</v>
      </c>
      <c r="O562" s="63">
        <v>0</v>
      </c>
      <c r="P562" s="63">
        <v>0</v>
      </c>
      <c r="Q562" s="63">
        <v>0</v>
      </c>
      <c r="R562" s="63"/>
      <c r="S562" s="63"/>
      <c r="T562" s="64">
        <v>92353.261274068107</v>
      </c>
      <c r="U562" s="205"/>
    </row>
    <row r="563" spans="1:70" x14ac:dyDescent="0.25">
      <c r="A563" s="193">
        <f t="shared" si="59"/>
        <v>541</v>
      </c>
      <c r="B563" s="107">
        <f t="shared" si="57"/>
        <v>82</v>
      </c>
      <c r="C563" s="53" t="s">
        <v>75</v>
      </c>
      <c r="D563" s="107" t="s">
        <v>573</v>
      </c>
      <c r="E563" s="62">
        <f t="shared" si="58"/>
        <v>31196291.718629982</v>
      </c>
      <c r="F563" s="55">
        <v>0</v>
      </c>
      <c r="G563" s="63">
        <v>0</v>
      </c>
      <c r="H563" s="63">
        <v>0</v>
      </c>
      <c r="I563" s="63">
        <v>0</v>
      </c>
      <c r="J563" s="63">
        <v>0</v>
      </c>
      <c r="K563" s="63"/>
      <c r="L563" s="55"/>
      <c r="M563" s="63">
        <v>0</v>
      </c>
      <c r="N563" s="63">
        <v>0</v>
      </c>
      <c r="O563" s="63">
        <v>0</v>
      </c>
      <c r="P563" s="63">
        <v>30528691.075851299</v>
      </c>
      <c r="Q563" s="63">
        <v>0</v>
      </c>
      <c r="R563" s="63"/>
      <c r="S563" s="63"/>
      <c r="T563" s="64">
        <v>667600.64277868206</v>
      </c>
      <c r="U563" s="205"/>
    </row>
    <row r="564" spans="1:70" x14ac:dyDescent="0.25">
      <c r="A564" s="193">
        <f t="shared" si="59"/>
        <v>542</v>
      </c>
      <c r="B564" s="107">
        <f t="shared" si="57"/>
        <v>83</v>
      </c>
      <c r="C564" s="53" t="s">
        <v>75</v>
      </c>
      <c r="D564" s="107" t="s">
        <v>105</v>
      </c>
      <c r="E564" s="62">
        <f t="shared" si="58"/>
        <v>16519834.062914642</v>
      </c>
      <c r="F564" s="55"/>
      <c r="G564" s="63"/>
      <c r="H564" s="63"/>
      <c r="I564" s="63"/>
      <c r="J564" s="63"/>
      <c r="K564" s="63"/>
      <c r="L564" s="55"/>
      <c r="M564" s="63">
        <v>0</v>
      </c>
      <c r="N564" s="63">
        <v>0</v>
      </c>
      <c r="O564" s="63">
        <v>0</v>
      </c>
      <c r="P564" s="63">
        <v>16225158.4678763</v>
      </c>
      <c r="Q564" s="63">
        <v>0</v>
      </c>
      <c r="R564" s="63"/>
      <c r="S564" s="63"/>
      <c r="T564" s="64">
        <v>294675.595038342</v>
      </c>
      <c r="U564" s="205"/>
    </row>
    <row r="565" spans="1:70" x14ac:dyDescent="0.25">
      <c r="A565" s="193">
        <f t="shared" si="59"/>
        <v>543</v>
      </c>
      <c r="B565" s="107">
        <f t="shared" si="57"/>
        <v>84</v>
      </c>
      <c r="C565" s="53" t="s">
        <v>75</v>
      </c>
      <c r="D565" s="107" t="s">
        <v>574</v>
      </c>
      <c r="E565" s="62">
        <f t="shared" si="58"/>
        <v>10112080.947587984</v>
      </c>
      <c r="F565" s="55">
        <v>0</v>
      </c>
      <c r="G565" s="63">
        <v>0</v>
      </c>
      <c r="H565" s="63">
        <v>0</v>
      </c>
      <c r="I565" s="63">
        <v>0</v>
      </c>
      <c r="J565" s="63">
        <v>0</v>
      </c>
      <c r="K565" s="63"/>
      <c r="L565" s="55"/>
      <c r="M565" s="63">
        <v>0</v>
      </c>
      <c r="N565" s="63">
        <v>0</v>
      </c>
      <c r="O565" s="63">
        <v>9895682.4153096005</v>
      </c>
      <c r="P565" s="63">
        <v>0</v>
      </c>
      <c r="Q565" s="63">
        <v>0</v>
      </c>
      <c r="R565" s="63"/>
      <c r="S565" s="63"/>
      <c r="T565" s="64">
        <v>216398.53227838301</v>
      </c>
      <c r="U565" s="205"/>
    </row>
    <row r="566" spans="1:70" x14ac:dyDescent="0.25">
      <c r="A566" s="193">
        <f t="shared" si="59"/>
        <v>544</v>
      </c>
      <c r="B566" s="107">
        <f t="shared" si="57"/>
        <v>85</v>
      </c>
      <c r="C566" s="53" t="s">
        <v>75</v>
      </c>
      <c r="D566" s="107" t="s">
        <v>309</v>
      </c>
      <c r="E566" s="62">
        <f t="shared" si="58"/>
        <v>18806450.389949661</v>
      </c>
      <c r="F566" s="55"/>
      <c r="G566" s="63">
        <v>0</v>
      </c>
      <c r="H566" s="63">
        <v>0</v>
      </c>
      <c r="I566" s="63">
        <v>5691095.7505916599</v>
      </c>
      <c r="J566" s="63">
        <v>0</v>
      </c>
      <c r="K566" s="63"/>
      <c r="L566" s="55"/>
      <c r="M566" s="63">
        <v>0</v>
      </c>
      <c r="N566" s="63"/>
      <c r="O566" s="63">
        <v>12028791.937781001</v>
      </c>
      <c r="P566" s="63">
        <v>0</v>
      </c>
      <c r="Q566" s="63">
        <v>0</v>
      </c>
      <c r="R566" s="63"/>
      <c r="S566" s="63"/>
      <c r="T566" s="64">
        <v>1086562.7015770001</v>
      </c>
      <c r="U566" s="205"/>
    </row>
    <row r="567" spans="1:70" x14ac:dyDescent="0.25">
      <c r="A567" s="193">
        <f t="shared" si="59"/>
        <v>545</v>
      </c>
      <c r="B567" s="107">
        <f t="shared" si="57"/>
        <v>86</v>
      </c>
      <c r="C567" s="53" t="s">
        <v>75</v>
      </c>
      <c r="D567" s="107" t="s">
        <v>311</v>
      </c>
      <c r="E567" s="62">
        <f t="shared" si="58"/>
        <v>955663.28903567954</v>
      </c>
      <c r="F567" s="55">
        <v>0</v>
      </c>
      <c r="G567" s="63">
        <v>0</v>
      </c>
      <c r="H567" s="63">
        <v>917077.8</v>
      </c>
      <c r="I567" s="63">
        <v>0</v>
      </c>
      <c r="J567" s="63">
        <v>0</v>
      </c>
      <c r="K567" s="63"/>
      <c r="L567" s="55"/>
      <c r="M567" s="63">
        <v>0</v>
      </c>
      <c r="N567" s="63">
        <v>0</v>
      </c>
      <c r="O567" s="63"/>
      <c r="P567" s="63">
        <v>0</v>
      </c>
      <c r="Q567" s="63">
        <v>0</v>
      </c>
      <c r="R567" s="63"/>
      <c r="S567" s="63"/>
      <c r="T567" s="64">
        <v>38585.4890356795</v>
      </c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</row>
    <row r="568" spans="1:70" x14ac:dyDescent="0.25">
      <c r="A568" s="193">
        <f t="shared" si="59"/>
        <v>546</v>
      </c>
      <c r="B568" s="107">
        <f t="shared" si="57"/>
        <v>87</v>
      </c>
      <c r="C568" s="53" t="s">
        <v>75</v>
      </c>
      <c r="D568" s="107" t="s">
        <v>312</v>
      </c>
      <c r="E568" s="62">
        <f t="shared" si="58"/>
        <v>3896493.6892402829</v>
      </c>
      <c r="F568" s="55"/>
      <c r="G568" s="63">
        <v>0</v>
      </c>
      <c r="H568" s="63">
        <v>3500633.0988559499</v>
      </c>
      <c r="I568" s="63"/>
      <c r="J568" s="63">
        <v>0</v>
      </c>
      <c r="K568" s="63"/>
      <c r="L568" s="55"/>
      <c r="M568" s="63">
        <v>0</v>
      </c>
      <c r="N568" s="63">
        <v>0</v>
      </c>
      <c r="O568" s="63">
        <v>0</v>
      </c>
      <c r="P568" s="63">
        <v>0</v>
      </c>
      <c r="Q568" s="63">
        <v>0</v>
      </c>
      <c r="R568" s="63"/>
      <c r="S568" s="63"/>
      <c r="T568" s="64">
        <v>395860.59038433299</v>
      </c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</row>
    <row r="569" spans="1:70" x14ac:dyDescent="0.25">
      <c r="A569" s="193">
        <f t="shared" si="59"/>
        <v>547</v>
      </c>
      <c r="B569" s="107">
        <f t="shared" si="57"/>
        <v>88</v>
      </c>
      <c r="C569" s="53" t="s">
        <v>75</v>
      </c>
      <c r="D569" s="107" t="s">
        <v>575</v>
      </c>
      <c r="E569" s="62">
        <f t="shared" si="58"/>
        <v>4709633.2364933584</v>
      </c>
      <c r="F569" s="55">
        <v>0</v>
      </c>
      <c r="G569" s="63">
        <v>0</v>
      </c>
      <c r="H569" s="63">
        <v>4608847.0852324003</v>
      </c>
      <c r="I569" s="63">
        <v>0</v>
      </c>
      <c r="J569" s="63">
        <v>0</v>
      </c>
      <c r="K569" s="63"/>
      <c r="L569" s="55"/>
      <c r="M569" s="63">
        <v>0</v>
      </c>
      <c r="N569" s="63">
        <v>0</v>
      </c>
      <c r="O569" s="63">
        <v>0</v>
      </c>
      <c r="P569" s="63"/>
      <c r="Q569" s="63">
        <v>0</v>
      </c>
      <c r="R569" s="63"/>
      <c r="S569" s="63"/>
      <c r="T569" s="64">
        <v>100786.15126095799</v>
      </c>
      <c r="U569" s="205"/>
    </row>
    <row r="570" spans="1:70" x14ac:dyDescent="0.25">
      <c r="A570" s="193">
        <f t="shared" si="59"/>
        <v>548</v>
      </c>
      <c r="B570" s="107">
        <f t="shared" si="57"/>
        <v>89</v>
      </c>
      <c r="C570" s="53" t="s">
        <v>75</v>
      </c>
      <c r="D570" s="107" t="s">
        <v>313</v>
      </c>
      <c r="E570" s="62">
        <f t="shared" si="58"/>
        <v>3864534.0027733031</v>
      </c>
      <c r="F570" s="55"/>
      <c r="G570" s="63">
        <v>0</v>
      </c>
      <c r="H570" s="63">
        <v>3471938.1437459402</v>
      </c>
      <c r="I570" s="63"/>
      <c r="J570" s="63">
        <v>0</v>
      </c>
      <c r="K570" s="63"/>
      <c r="L570" s="55"/>
      <c r="M570" s="63">
        <v>0</v>
      </c>
      <c r="N570" s="63">
        <v>0</v>
      </c>
      <c r="O570" s="63">
        <v>0</v>
      </c>
      <c r="P570" s="63">
        <v>0</v>
      </c>
      <c r="Q570" s="63">
        <v>0</v>
      </c>
      <c r="R570" s="63"/>
      <c r="S570" s="63"/>
      <c r="T570" s="64">
        <v>392595.85902736301</v>
      </c>
      <c r="U570" s="205"/>
    </row>
    <row r="571" spans="1:70" x14ac:dyDescent="0.25">
      <c r="A571" s="193">
        <f t="shared" si="59"/>
        <v>549</v>
      </c>
      <c r="B571" s="107">
        <f t="shared" si="57"/>
        <v>90</v>
      </c>
      <c r="C571" s="53" t="s">
        <v>75</v>
      </c>
      <c r="D571" s="107" t="s">
        <v>314</v>
      </c>
      <c r="E571" s="62">
        <f t="shared" si="58"/>
        <v>3869781.6704977048</v>
      </c>
      <c r="F571" s="55"/>
      <c r="G571" s="63">
        <v>0</v>
      </c>
      <c r="H571" s="63">
        <v>3475648.0455939299</v>
      </c>
      <c r="I571" s="63"/>
      <c r="J571" s="63">
        <v>0</v>
      </c>
      <c r="K571" s="63"/>
      <c r="L571" s="55"/>
      <c r="M571" s="63">
        <v>0</v>
      </c>
      <c r="N571" s="63">
        <v>0</v>
      </c>
      <c r="O571" s="63">
        <v>0</v>
      </c>
      <c r="P571" s="63">
        <v>0</v>
      </c>
      <c r="Q571" s="63">
        <v>0</v>
      </c>
      <c r="R571" s="63"/>
      <c r="S571" s="63"/>
      <c r="T571" s="64">
        <v>394133.62490377499</v>
      </c>
      <c r="U571" s="205"/>
    </row>
    <row r="572" spans="1:70" x14ac:dyDescent="0.25">
      <c r="A572" s="193">
        <f t="shared" si="59"/>
        <v>550</v>
      </c>
      <c r="B572" s="107">
        <f t="shared" si="57"/>
        <v>91</v>
      </c>
      <c r="C572" s="53" t="s">
        <v>75</v>
      </c>
      <c r="D572" s="107" t="s">
        <v>576</v>
      </c>
      <c r="E572" s="62">
        <f t="shared" si="58"/>
        <v>40235267.284000002</v>
      </c>
      <c r="F572" s="55">
        <v>0</v>
      </c>
      <c r="G572" s="63">
        <v>0</v>
      </c>
      <c r="H572" s="63">
        <v>0</v>
      </c>
      <c r="I572" s="63">
        <v>0</v>
      </c>
      <c r="J572" s="63">
        <v>0</v>
      </c>
      <c r="K572" s="63"/>
      <c r="L572" s="55"/>
      <c r="M572" s="63">
        <v>0</v>
      </c>
      <c r="N572" s="63">
        <v>0</v>
      </c>
      <c r="O572" s="63">
        <v>0</v>
      </c>
      <c r="P572" s="63">
        <v>39374232.564122401</v>
      </c>
      <c r="Q572" s="63">
        <v>0</v>
      </c>
      <c r="R572" s="63"/>
      <c r="S572" s="63"/>
      <c r="T572" s="64">
        <v>861034.71987759997</v>
      </c>
      <c r="U572" s="205"/>
    </row>
    <row r="573" spans="1:70" x14ac:dyDescent="0.25">
      <c r="A573" s="193">
        <f t="shared" si="59"/>
        <v>551</v>
      </c>
      <c r="B573" s="107">
        <f t="shared" si="57"/>
        <v>92</v>
      </c>
      <c r="C573" s="53" t="s">
        <v>75</v>
      </c>
      <c r="D573" s="107" t="s">
        <v>577</v>
      </c>
      <c r="E573" s="62">
        <f t="shared" si="58"/>
        <v>22930681.333117064</v>
      </c>
      <c r="F573" s="55">
        <v>13891614.2865311</v>
      </c>
      <c r="G573" s="63">
        <v>0</v>
      </c>
      <c r="H573" s="63">
        <v>4086844.07342418</v>
      </c>
      <c r="I573" s="63">
        <v>4014137.61</v>
      </c>
      <c r="J573" s="63">
        <v>0</v>
      </c>
      <c r="K573" s="63"/>
      <c r="L573" s="55">
        <v>448678.92666007602</v>
      </c>
      <c r="M573" s="63">
        <v>0</v>
      </c>
      <c r="N573" s="63">
        <v>0</v>
      </c>
      <c r="O573" s="63">
        <v>0</v>
      </c>
      <c r="P573" s="63">
        <v>0</v>
      </c>
      <c r="Q573" s="63">
        <v>0</v>
      </c>
      <c r="R573" s="63"/>
      <c r="S573" s="63"/>
      <c r="T573" s="64">
        <v>489406.43650170701</v>
      </c>
      <c r="U573" s="205"/>
    </row>
    <row r="574" spans="1:70" x14ac:dyDescent="0.25">
      <c r="A574" s="193">
        <f t="shared" si="59"/>
        <v>552</v>
      </c>
      <c r="B574" s="107">
        <f t="shared" si="57"/>
        <v>93</v>
      </c>
      <c r="C574" s="53" t="s">
        <v>75</v>
      </c>
      <c r="D574" s="107" t="s">
        <v>578</v>
      </c>
      <c r="E574" s="62">
        <f t="shared" si="58"/>
        <v>12522293.548031064</v>
      </c>
      <c r="F574" s="55">
        <v>0</v>
      </c>
      <c r="G574" s="63">
        <v>0</v>
      </c>
      <c r="H574" s="63">
        <v>0</v>
      </c>
      <c r="I574" s="63">
        <v>0</v>
      </c>
      <c r="J574" s="63">
        <v>0</v>
      </c>
      <c r="K574" s="63"/>
      <c r="L574" s="55"/>
      <c r="M574" s="63">
        <v>0</v>
      </c>
      <c r="N574" s="63">
        <v>0</v>
      </c>
      <c r="O574" s="63">
        <v>0</v>
      </c>
      <c r="P574" s="63">
        <v>12254316.4661032</v>
      </c>
      <c r="Q574" s="63">
        <v>0</v>
      </c>
      <c r="R574" s="63"/>
      <c r="S574" s="63"/>
      <c r="T574" s="64">
        <v>267977.081927864</v>
      </c>
      <c r="U574" s="205"/>
    </row>
    <row r="575" spans="1:70" x14ac:dyDescent="0.25">
      <c r="A575" s="193">
        <f t="shared" si="59"/>
        <v>553</v>
      </c>
      <c r="B575" s="107">
        <f t="shared" si="57"/>
        <v>94</v>
      </c>
      <c r="C575" s="53" t="s">
        <v>75</v>
      </c>
      <c r="D575" s="107" t="s">
        <v>579</v>
      </c>
      <c r="E575" s="62">
        <f t="shared" si="58"/>
        <v>12897116.892575147</v>
      </c>
      <c r="F575" s="55"/>
      <c r="G575" s="63"/>
      <c r="H575" s="63"/>
      <c r="I575" s="63"/>
      <c r="J575" s="63"/>
      <c r="K575" s="63"/>
      <c r="L575" s="55"/>
      <c r="M575" s="63"/>
      <c r="N575" s="63"/>
      <c r="O575" s="63">
        <v>11232795.5460559</v>
      </c>
      <c r="P575" s="63"/>
      <c r="Q575" s="63"/>
      <c r="R575" s="63">
        <v>1289711.68925751</v>
      </c>
      <c r="S575" s="63">
        <v>128971.168925751</v>
      </c>
      <c r="T575" s="64">
        <v>245638.48833598601</v>
      </c>
      <c r="U575" s="205"/>
    </row>
    <row r="576" spans="1:70" x14ac:dyDescent="0.25">
      <c r="A576" s="193">
        <f t="shared" si="59"/>
        <v>554</v>
      </c>
      <c r="B576" s="107">
        <f t="shared" si="57"/>
        <v>95</v>
      </c>
      <c r="C576" s="53" t="s">
        <v>75</v>
      </c>
      <c r="D576" s="107" t="s">
        <v>580</v>
      </c>
      <c r="E576" s="62">
        <f t="shared" si="58"/>
        <v>13360777.961205186</v>
      </c>
      <c r="F576" s="55"/>
      <c r="G576" s="63"/>
      <c r="H576" s="63"/>
      <c r="I576" s="63"/>
      <c r="J576" s="63"/>
      <c r="K576" s="63"/>
      <c r="L576" s="55"/>
      <c r="M576" s="63"/>
      <c r="N576" s="63"/>
      <c r="O576" s="63">
        <v>11636623.0084235</v>
      </c>
      <c r="P576" s="63"/>
      <c r="Q576" s="63"/>
      <c r="R576" s="63">
        <v>1336077.79612052</v>
      </c>
      <c r="S576" s="63">
        <v>133607.77961205199</v>
      </c>
      <c r="T576" s="64">
        <v>254469.377049114</v>
      </c>
      <c r="U576" s="205"/>
    </row>
    <row r="577" spans="1:70" x14ac:dyDescent="0.25">
      <c r="A577" s="193">
        <f t="shared" si="59"/>
        <v>555</v>
      </c>
      <c r="B577" s="107">
        <f t="shared" si="57"/>
        <v>96</v>
      </c>
      <c r="C577" s="53" t="s">
        <v>75</v>
      </c>
      <c r="D577" s="107" t="s">
        <v>106</v>
      </c>
      <c r="E577" s="62">
        <f t="shared" si="58"/>
        <v>16126771.31643109</v>
      </c>
      <c r="F577" s="55">
        <v>8180916.3093257602</v>
      </c>
      <c r="G577" s="63">
        <v>3273146.77247199</v>
      </c>
      <c r="H577" s="63">
        <v>2417539.3161607599</v>
      </c>
      <c r="I577" s="63">
        <v>1544918.4530306701</v>
      </c>
      <c r="J577" s="63">
        <v>0</v>
      </c>
      <c r="K577" s="63"/>
      <c r="L577" s="55">
        <v>365137.55927028501</v>
      </c>
      <c r="M577" s="63">
        <v>0</v>
      </c>
      <c r="N577" s="63">
        <v>0</v>
      </c>
      <c r="O577" s="63">
        <v>0</v>
      </c>
      <c r="P577" s="63">
        <v>0</v>
      </c>
      <c r="Q577" s="63">
        <v>0</v>
      </c>
      <c r="R577" s="63"/>
      <c r="S577" s="63"/>
      <c r="T577" s="64">
        <v>345112.90617162501</v>
      </c>
      <c r="U577" s="205"/>
    </row>
    <row r="578" spans="1:70" x14ac:dyDescent="0.25">
      <c r="A578" s="193">
        <f t="shared" si="59"/>
        <v>556</v>
      </c>
      <c r="B578" s="107">
        <f t="shared" ref="B578:B599" si="60">+B577+1</f>
        <v>97</v>
      </c>
      <c r="C578" s="53" t="s">
        <v>75</v>
      </c>
      <c r="D578" s="107" t="s">
        <v>317</v>
      </c>
      <c r="E578" s="62">
        <f t="shared" si="58"/>
        <v>1133724.883107719</v>
      </c>
      <c r="F578" s="55">
        <v>0</v>
      </c>
      <c r="G578" s="63">
        <v>0</v>
      </c>
      <c r="H578" s="63">
        <v>927231.11</v>
      </c>
      <c r="I578" s="63"/>
      <c r="J578" s="63">
        <v>0</v>
      </c>
      <c r="K578" s="63"/>
      <c r="L578" s="55"/>
      <c r="M578" s="63">
        <v>0</v>
      </c>
      <c r="N578" s="63">
        <v>0</v>
      </c>
      <c r="O578" s="63">
        <v>0</v>
      </c>
      <c r="P578" s="63">
        <v>0</v>
      </c>
      <c r="Q578" s="63">
        <v>0</v>
      </c>
      <c r="R578" s="63">
        <v>93622.89</v>
      </c>
      <c r="S578" s="63">
        <v>16996</v>
      </c>
      <c r="T578" s="64">
        <v>95874.883107719099</v>
      </c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</row>
    <row r="579" spans="1:70" x14ac:dyDescent="0.25">
      <c r="A579" s="193">
        <f t="shared" si="59"/>
        <v>557</v>
      </c>
      <c r="B579" s="107">
        <f t="shared" si="60"/>
        <v>98</v>
      </c>
      <c r="C579" s="53" t="s">
        <v>581</v>
      </c>
      <c r="D579" s="107" t="s">
        <v>582</v>
      </c>
      <c r="E579" s="62">
        <f t="shared" si="58"/>
        <v>9780000</v>
      </c>
      <c r="F579" s="55"/>
      <c r="G579" s="63"/>
      <c r="H579" s="63"/>
      <c r="I579" s="63"/>
      <c r="J579" s="63"/>
      <c r="K579" s="63"/>
      <c r="L579" s="55"/>
      <c r="M579" s="63">
        <v>9062814.5999999996</v>
      </c>
      <c r="N579" s="63"/>
      <c r="O579" s="63"/>
      <c r="P579" s="63"/>
      <c r="Q579" s="63"/>
      <c r="R579" s="63">
        <v>489000</v>
      </c>
      <c r="S579" s="63">
        <v>30000</v>
      </c>
      <c r="T579" s="64">
        <v>198185.4</v>
      </c>
      <c r="U579" s="205"/>
    </row>
    <row r="580" spans="1:70" x14ac:dyDescent="0.25">
      <c r="A580" s="193">
        <f t="shared" si="59"/>
        <v>558</v>
      </c>
      <c r="B580" s="107">
        <f t="shared" si="60"/>
        <v>99</v>
      </c>
      <c r="C580" s="53" t="s">
        <v>75</v>
      </c>
      <c r="D580" s="107" t="s">
        <v>584</v>
      </c>
      <c r="E580" s="62">
        <f t="shared" si="58"/>
        <v>12857035.108104587</v>
      </c>
      <c r="F580" s="55">
        <v>7935557.2128255004</v>
      </c>
      <c r="G580" s="63">
        <v>0</v>
      </c>
      <c r="H580" s="63">
        <v>2345033.34739894</v>
      </c>
      <c r="I580" s="63">
        <v>1498583.81501829</v>
      </c>
      <c r="J580" s="63">
        <v>0</v>
      </c>
      <c r="K580" s="63"/>
      <c r="L580" s="55">
        <v>354186.485056417</v>
      </c>
      <c r="M580" s="63">
        <v>0</v>
      </c>
      <c r="N580" s="63">
        <v>0</v>
      </c>
      <c r="O580" s="63">
        <v>0</v>
      </c>
      <c r="P580" s="63">
        <v>0</v>
      </c>
      <c r="Q580" s="63">
        <v>0</v>
      </c>
      <c r="R580" s="63">
        <v>415497.22</v>
      </c>
      <c r="S580" s="63">
        <v>42845</v>
      </c>
      <c r="T580" s="64">
        <v>265332.02780543797</v>
      </c>
      <c r="U580" s="205"/>
    </row>
    <row r="581" spans="1:70" x14ac:dyDescent="0.25">
      <c r="A581" s="193">
        <f t="shared" si="59"/>
        <v>559</v>
      </c>
      <c r="B581" s="107">
        <f t="shared" si="60"/>
        <v>100</v>
      </c>
      <c r="C581" s="53" t="s">
        <v>75</v>
      </c>
      <c r="D581" s="107" t="s">
        <v>470</v>
      </c>
      <c r="E581" s="62">
        <f t="shared" si="58"/>
        <v>9028218.4643959422</v>
      </c>
      <c r="F581" s="55">
        <v>8101220.3263461301</v>
      </c>
      <c r="G581" s="63">
        <v>0</v>
      </c>
      <c r="H581" s="63"/>
      <c r="I581" s="63"/>
      <c r="J581" s="63"/>
      <c r="K581" s="63"/>
      <c r="L581" s="55">
        <v>295198.03432807798</v>
      </c>
      <c r="M581" s="63"/>
      <c r="N581" s="63"/>
      <c r="O581" s="63"/>
      <c r="P581" s="63"/>
      <c r="Q581" s="63"/>
      <c r="R581" s="63">
        <v>354272.38</v>
      </c>
      <c r="S581" s="63">
        <v>8000</v>
      </c>
      <c r="T581" s="64">
        <v>269527.72372173303</v>
      </c>
      <c r="U581" s="205"/>
    </row>
    <row r="582" spans="1:70" x14ac:dyDescent="0.25">
      <c r="A582" s="193">
        <f t="shared" si="59"/>
        <v>560</v>
      </c>
      <c r="B582" s="107">
        <f t="shared" si="60"/>
        <v>101</v>
      </c>
      <c r="C582" s="53" t="s">
        <v>581</v>
      </c>
      <c r="D582" s="107" t="s">
        <v>585</v>
      </c>
      <c r="E582" s="62">
        <f t="shared" si="58"/>
        <v>3591360.0000000023</v>
      </c>
      <c r="F582" s="55"/>
      <c r="G582" s="63"/>
      <c r="H582" s="63"/>
      <c r="I582" s="63"/>
      <c r="J582" s="63"/>
      <c r="K582" s="63"/>
      <c r="L582" s="55"/>
      <c r="M582" s="63">
        <v>3388344.6460698801</v>
      </c>
      <c r="N582" s="63"/>
      <c r="O582" s="63"/>
      <c r="P582" s="63"/>
      <c r="Q582" s="63"/>
      <c r="R582" s="63">
        <v>104919.11907840001</v>
      </c>
      <c r="S582" s="63">
        <v>24000</v>
      </c>
      <c r="T582" s="64">
        <v>74096.234851722198</v>
      </c>
      <c r="U582" s="205"/>
    </row>
    <row r="583" spans="1:70" x14ac:dyDescent="0.25">
      <c r="A583" s="193">
        <f t="shared" si="59"/>
        <v>561</v>
      </c>
      <c r="B583" s="107">
        <f t="shared" si="60"/>
        <v>102</v>
      </c>
      <c r="C583" s="53" t="s">
        <v>75</v>
      </c>
      <c r="D583" s="107" t="s">
        <v>586</v>
      </c>
      <c r="E583" s="62">
        <f t="shared" si="58"/>
        <v>14431106.14076286</v>
      </c>
      <c r="F583" s="55">
        <v>8116513.1086183796</v>
      </c>
      <c r="G583" s="63">
        <v>0</v>
      </c>
      <c r="H583" s="63">
        <v>0</v>
      </c>
      <c r="I583" s="63">
        <v>0</v>
      </c>
      <c r="J583" s="63">
        <v>0</v>
      </c>
      <c r="K583" s="63"/>
      <c r="L583" s="55">
        <v>362263.06127686502</v>
      </c>
      <c r="M583" s="63">
        <v>0</v>
      </c>
      <c r="N583" s="63">
        <v>0</v>
      </c>
      <c r="O583" s="63">
        <v>5643504.2994552897</v>
      </c>
      <c r="P583" s="63">
        <v>0</v>
      </c>
      <c r="Q583" s="63">
        <v>0</v>
      </c>
      <c r="R583" s="63"/>
      <c r="S583" s="63"/>
      <c r="T583" s="64">
        <v>308825.671412325</v>
      </c>
      <c r="U583" s="205"/>
    </row>
    <row r="584" spans="1:70" x14ac:dyDescent="0.25">
      <c r="A584" s="193">
        <f t="shared" si="59"/>
        <v>562</v>
      </c>
      <c r="B584" s="107">
        <f t="shared" si="60"/>
        <v>103</v>
      </c>
      <c r="C584" s="53" t="s">
        <v>581</v>
      </c>
      <c r="D584" s="107" t="s">
        <v>587</v>
      </c>
      <c r="E584" s="62">
        <f t="shared" si="58"/>
        <v>7182719.9999999972</v>
      </c>
      <c r="F584" s="55"/>
      <c r="G584" s="63"/>
      <c r="H584" s="63"/>
      <c r="I584" s="63"/>
      <c r="J584" s="63"/>
      <c r="K584" s="63"/>
      <c r="L584" s="55"/>
      <c r="M584" s="63">
        <v>6868490.3575085597</v>
      </c>
      <c r="N584" s="63"/>
      <c r="O584" s="63"/>
      <c r="P584" s="63"/>
      <c r="Q584" s="63"/>
      <c r="R584" s="63">
        <v>140029.66941696001</v>
      </c>
      <c r="S584" s="63">
        <v>24000</v>
      </c>
      <c r="T584" s="64">
        <v>150199.97307447699</v>
      </c>
      <c r="U584" s="205"/>
    </row>
    <row r="585" spans="1:70" x14ac:dyDescent="0.25">
      <c r="A585" s="193">
        <f t="shared" si="59"/>
        <v>563</v>
      </c>
      <c r="B585" s="107">
        <f t="shared" si="60"/>
        <v>104</v>
      </c>
      <c r="C585" s="53" t="s">
        <v>78</v>
      </c>
      <c r="D585" s="107" t="s">
        <v>107</v>
      </c>
      <c r="E585" s="62">
        <f t="shared" si="58"/>
        <v>17694269.120000001</v>
      </c>
      <c r="F585" s="55">
        <v>17694269.120000001</v>
      </c>
      <c r="G585" s="63"/>
      <c r="H585" s="63"/>
      <c r="I585" s="63"/>
      <c r="J585" s="63"/>
      <c r="K585" s="63"/>
      <c r="L585" s="55"/>
      <c r="M585" s="63"/>
      <c r="N585" s="63"/>
      <c r="O585" s="63"/>
      <c r="P585" s="63"/>
      <c r="Q585" s="63"/>
      <c r="R585" s="63"/>
      <c r="S585" s="63"/>
      <c r="T585" s="64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</row>
    <row r="586" spans="1:70" x14ac:dyDescent="0.25">
      <c r="A586" s="193">
        <f t="shared" si="59"/>
        <v>564</v>
      </c>
      <c r="B586" s="107">
        <f t="shared" si="60"/>
        <v>105</v>
      </c>
      <c r="C586" s="53" t="s">
        <v>67</v>
      </c>
      <c r="D586" s="107" t="s">
        <v>588</v>
      </c>
      <c r="E586" s="62">
        <f t="shared" si="58"/>
        <v>9483523.7206999995</v>
      </c>
      <c r="F586" s="55">
        <v>0</v>
      </c>
      <c r="G586" s="63">
        <v>0</v>
      </c>
      <c r="H586" s="63">
        <v>0</v>
      </c>
      <c r="I586" s="63">
        <v>0</v>
      </c>
      <c r="J586" s="63">
        <v>0</v>
      </c>
      <c r="K586" s="63"/>
      <c r="L586" s="55"/>
      <c r="M586" s="63">
        <v>0</v>
      </c>
      <c r="N586" s="63">
        <v>0</v>
      </c>
      <c r="O586" s="63">
        <v>0</v>
      </c>
      <c r="P586" s="63">
        <v>9280576.3130770195</v>
      </c>
      <c r="Q586" s="63">
        <v>0</v>
      </c>
      <c r="R586" s="63"/>
      <c r="S586" s="63"/>
      <c r="T586" s="64">
        <v>202947.40762298001</v>
      </c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</row>
    <row r="587" spans="1:70" x14ac:dyDescent="0.25">
      <c r="A587" s="193">
        <f t="shared" si="59"/>
        <v>565</v>
      </c>
      <c r="B587" s="107">
        <f t="shared" si="60"/>
        <v>106</v>
      </c>
      <c r="C587" s="53" t="s">
        <v>67</v>
      </c>
      <c r="D587" s="107" t="s">
        <v>68</v>
      </c>
      <c r="E587" s="62">
        <f t="shared" si="58"/>
        <v>18608626.178600039</v>
      </c>
      <c r="F587" s="55">
        <v>0</v>
      </c>
      <c r="G587" s="63">
        <v>0</v>
      </c>
      <c r="H587" s="63">
        <v>0</v>
      </c>
      <c r="I587" s="63">
        <v>0</v>
      </c>
      <c r="J587" s="63">
        <v>0</v>
      </c>
      <c r="K587" s="63"/>
      <c r="L587" s="55"/>
      <c r="M587" s="63">
        <v>0</v>
      </c>
      <c r="N587" s="63">
        <v>0</v>
      </c>
      <c r="O587" s="63">
        <v>0</v>
      </c>
      <c r="P587" s="63">
        <v>18210401.578377999</v>
      </c>
      <c r="Q587" s="63">
        <v>0</v>
      </c>
      <c r="R587" s="63"/>
      <c r="S587" s="63"/>
      <c r="T587" s="64">
        <v>398224.60022204003</v>
      </c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</row>
    <row r="588" spans="1:70" x14ac:dyDescent="0.25">
      <c r="A588" s="193">
        <f t="shared" si="59"/>
        <v>566</v>
      </c>
      <c r="B588" s="107">
        <f t="shared" si="60"/>
        <v>107</v>
      </c>
      <c r="C588" s="53" t="s">
        <v>108</v>
      </c>
      <c r="D588" s="107" t="s">
        <v>589</v>
      </c>
      <c r="E588" s="62">
        <f t="shared" si="58"/>
        <v>21614340.108399998</v>
      </c>
      <c r="F588" s="55"/>
      <c r="G588" s="63"/>
      <c r="H588" s="63"/>
      <c r="I588" s="63"/>
      <c r="J588" s="63"/>
      <c r="K588" s="63"/>
      <c r="L588" s="55"/>
      <c r="M588" s="63">
        <v>19804234.949999999</v>
      </c>
      <c r="N588" s="63"/>
      <c r="O588" s="63"/>
      <c r="P588" s="63"/>
      <c r="Q588" s="63"/>
      <c r="R588" s="63">
        <v>896920.5</v>
      </c>
      <c r="S588" s="63">
        <v>298973.5</v>
      </c>
      <c r="T588" s="64">
        <v>614211.15839999996</v>
      </c>
      <c r="U588" s="205"/>
    </row>
    <row r="589" spans="1:70" x14ac:dyDescent="0.25">
      <c r="A589" s="193">
        <f t="shared" si="59"/>
        <v>567</v>
      </c>
      <c r="B589" s="107">
        <f t="shared" si="60"/>
        <v>108</v>
      </c>
      <c r="C589" s="53" t="s">
        <v>108</v>
      </c>
      <c r="D589" s="107" t="s">
        <v>592</v>
      </c>
      <c r="E589" s="62">
        <f t="shared" si="58"/>
        <v>3923178.205999996</v>
      </c>
      <c r="F589" s="55">
        <v>0</v>
      </c>
      <c r="G589" s="63">
        <v>0</v>
      </c>
      <c r="H589" s="63">
        <v>3847595.2246995401</v>
      </c>
      <c r="I589" s="63">
        <v>0</v>
      </c>
      <c r="J589" s="63">
        <v>0</v>
      </c>
      <c r="K589" s="63"/>
      <c r="L589" s="55"/>
      <c r="M589" s="63">
        <v>0</v>
      </c>
      <c r="N589" s="63">
        <v>0</v>
      </c>
      <c r="O589" s="63">
        <v>0</v>
      </c>
      <c r="P589" s="63">
        <v>0</v>
      </c>
      <c r="Q589" s="63">
        <v>0</v>
      </c>
      <c r="R589" s="63"/>
      <c r="S589" s="63"/>
      <c r="T589" s="64">
        <v>75582.981300455998</v>
      </c>
      <c r="U589" s="205"/>
    </row>
    <row r="590" spans="1:70" x14ac:dyDescent="0.25">
      <c r="A590" s="193">
        <f t="shared" si="59"/>
        <v>568</v>
      </c>
      <c r="B590" s="107">
        <f t="shared" si="60"/>
        <v>109</v>
      </c>
      <c r="C590" s="53" t="s">
        <v>108</v>
      </c>
      <c r="D590" s="107" t="s">
        <v>323</v>
      </c>
      <c r="E590" s="62">
        <f t="shared" si="58"/>
        <v>2245191.7792038769</v>
      </c>
      <c r="F590" s="55">
        <v>1551954.26</v>
      </c>
      <c r="G590" s="63">
        <v>0</v>
      </c>
      <c r="H590" s="63"/>
      <c r="I590" s="63">
        <v>462948.67</v>
      </c>
      <c r="J590" s="63">
        <v>0</v>
      </c>
      <c r="K590" s="63"/>
      <c r="L590" s="55">
        <v>186659.459834237</v>
      </c>
      <c r="M590" s="63">
        <v>0</v>
      </c>
      <c r="N590" s="63">
        <v>0</v>
      </c>
      <c r="O590" s="63">
        <v>0</v>
      </c>
      <c r="P590" s="63">
        <v>0</v>
      </c>
      <c r="Q590" s="63">
        <v>0</v>
      </c>
      <c r="R590" s="63"/>
      <c r="S590" s="63"/>
      <c r="T590" s="64">
        <v>43629.389369639997</v>
      </c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</row>
    <row r="591" spans="1:70" x14ac:dyDescent="0.25">
      <c r="A591" s="193">
        <f t="shared" si="59"/>
        <v>569</v>
      </c>
      <c r="B591" s="107">
        <f t="shared" si="60"/>
        <v>110</v>
      </c>
      <c r="C591" s="53" t="s">
        <v>108</v>
      </c>
      <c r="D591" s="107" t="s">
        <v>119</v>
      </c>
      <c r="E591" s="62">
        <f t="shared" si="58"/>
        <v>3802223.5245059999</v>
      </c>
      <c r="F591" s="55"/>
      <c r="G591" s="63">
        <v>2634178.6800000002</v>
      </c>
      <c r="H591" s="63"/>
      <c r="I591" s="63"/>
      <c r="J591" s="63"/>
      <c r="K591" s="63"/>
      <c r="L591" s="55"/>
      <c r="M591" s="63">
        <v>0</v>
      </c>
      <c r="N591" s="63"/>
      <c r="O591" s="63"/>
      <c r="P591" s="63"/>
      <c r="Q591" s="63"/>
      <c r="R591" s="63"/>
      <c r="S591" s="63"/>
      <c r="T591" s="64">
        <v>1168044.8445059999</v>
      </c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</row>
    <row r="592" spans="1:70" x14ac:dyDescent="0.25">
      <c r="A592" s="193">
        <f t="shared" si="59"/>
        <v>570</v>
      </c>
      <c r="B592" s="107">
        <f t="shared" si="60"/>
        <v>111</v>
      </c>
      <c r="C592" s="53" t="s">
        <v>108</v>
      </c>
      <c r="D592" s="107" t="s">
        <v>327</v>
      </c>
      <c r="E592" s="62">
        <f t="shared" si="58"/>
        <v>8898125.8097823188</v>
      </c>
      <c r="F592" s="55"/>
      <c r="G592" s="63">
        <v>4892953.0885143401</v>
      </c>
      <c r="H592" s="63"/>
      <c r="I592" s="63">
        <v>3303637.3136041798</v>
      </c>
      <c r="J592" s="63"/>
      <c r="K592" s="63"/>
      <c r="L592" s="55"/>
      <c r="M592" s="63">
        <v>0</v>
      </c>
      <c r="N592" s="63"/>
      <c r="O592" s="63">
        <v>0</v>
      </c>
      <c r="P592" s="63">
        <v>0</v>
      </c>
      <c r="Q592" s="63">
        <v>0</v>
      </c>
      <c r="R592" s="63">
        <v>504353.16</v>
      </c>
      <c r="S592" s="63">
        <v>19200</v>
      </c>
      <c r="T592" s="64">
        <v>177982.24766379999</v>
      </c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</row>
    <row r="593" spans="1:70" s="69" customFormat="1" x14ac:dyDescent="0.25">
      <c r="A593" s="193">
        <f t="shared" si="59"/>
        <v>571</v>
      </c>
      <c r="B593" s="107">
        <f t="shared" si="60"/>
        <v>112</v>
      </c>
      <c r="C593" s="53" t="s">
        <v>108</v>
      </c>
      <c r="D593" s="107" t="s">
        <v>329</v>
      </c>
      <c r="E593" s="62">
        <f t="shared" si="58"/>
        <v>1171216.6200000001</v>
      </c>
      <c r="F593" s="55"/>
      <c r="G593" s="63">
        <v>1171216.6200000001</v>
      </c>
      <c r="H593" s="63"/>
      <c r="I593" s="63"/>
      <c r="J593" s="63"/>
      <c r="K593" s="63"/>
      <c r="L593" s="55"/>
      <c r="M593" s="63"/>
      <c r="N593" s="63"/>
      <c r="O593" s="63"/>
      <c r="P593" s="63"/>
      <c r="Q593" s="63"/>
      <c r="R593" s="63"/>
      <c r="S593" s="63"/>
      <c r="T593" s="64"/>
      <c r="U593" s="205"/>
    </row>
    <row r="594" spans="1:70" x14ac:dyDescent="0.25">
      <c r="A594" s="193">
        <f t="shared" si="59"/>
        <v>572</v>
      </c>
      <c r="B594" s="107">
        <f t="shared" si="60"/>
        <v>113</v>
      </c>
      <c r="C594" s="53" t="s">
        <v>108</v>
      </c>
      <c r="D594" s="107" t="s">
        <v>126</v>
      </c>
      <c r="E594" s="62">
        <f t="shared" si="58"/>
        <v>7071693.6906555407</v>
      </c>
      <c r="F594" s="55"/>
      <c r="G594" s="63">
        <v>2116717.1923795799</v>
      </c>
      <c r="H594" s="63">
        <v>2211498.4827243001</v>
      </c>
      <c r="I594" s="63">
        <v>2020165.83</v>
      </c>
      <c r="J594" s="63"/>
      <c r="K594" s="63"/>
      <c r="L594" s="55">
        <v>227939.55009504</v>
      </c>
      <c r="M594" s="63">
        <v>0</v>
      </c>
      <c r="N594" s="63"/>
      <c r="O594" s="63">
        <v>0</v>
      </c>
      <c r="P594" s="63">
        <v>0</v>
      </c>
      <c r="Q594" s="63">
        <v>0</v>
      </c>
      <c r="R594" s="63"/>
      <c r="S594" s="63"/>
      <c r="T594" s="64">
        <v>495372.63545662002</v>
      </c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</row>
    <row r="595" spans="1:70" x14ac:dyDescent="0.25">
      <c r="A595" s="193">
        <f t="shared" si="59"/>
        <v>573</v>
      </c>
      <c r="B595" s="107">
        <f t="shared" si="60"/>
        <v>114</v>
      </c>
      <c r="C595" s="53" t="s">
        <v>108</v>
      </c>
      <c r="D595" s="107" t="s">
        <v>127</v>
      </c>
      <c r="E595" s="62">
        <f t="shared" si="58"/>
        <v>5223518.5269052126</v>
      </c>
      <c r="F595" s="55"/>
      <c r="G595" s="63">
        <v>2457065.2679873998</v>
      </c>
      <c r="H595" s="63"/>
      <c r="I595" s="63">
        <v>2053849.9317419999</v>
      </c>
      <c r="J595" s="63">
        <v>631577.05000000005</v>
      </c>
      <c r="K595" s="63"/>
      <c r="L595" s="55"/>
      <c r="M595" s="63"/>
      <c r="N595" s="63"/>
      <c r="O595" s="63">
        <v>0</v>
      </c>
      <c r="P595" s="63">
        <v>0</v>
      </c>
      <c r="Q595" s="63">
        <v>0</v>
      </c>
      <c r="R595" s="63"/>
      <c r="S595" s="63"/>
      <c r="T595" s="64">
        <v>81026.2771758132</v>
      </c>
      <c r="U595" s="205"/>
    </row>
    <row r="596" spans="1:70" x14ac:dyDescent="0.25">
      <c r="A596" s="193">
        <f t="shared" si="59"/>
        <v>574</v>
      </c>
      <c r="B596" s="107">
        <f t="shared" si="60"/>
        <v>115</v>
      </c>
      <c r="C596" s="53" t="s">
        <v>108</v>
      </c>
      <c r="D596" s="107" t="s">
        <v>129</v>
      </c>
      <c r="E596" s="62">
        <f t="shared" si="58"/>
        <v>12736306.474216621</v>
      </c>
      <c r="F596" s="55">
        <v>6402530.3799999999</v>
      </c>
      <c r="G596" s="63"/>
      <c r="H596" s="63">
        <v>1227624.8600000001</v>
      </c>
      <c r="I596" s="63"/>
      <c r="J596" s="63">
        <v>0</v>
      </c>
      <c r="K596" s="63"/>
      <c r="L596" s="55"/>
      <c r="M596" s="63">
        <v>0</v>
      </c>
      <c r="N596" s="63">
        <v>4215079.9000000004</v>
      </c>
      <c r="O596" s="63">
        <v>0</v>
      </c>
      <c r="P596" s="63"/>
      <c r="Q596" s="63">
        <v>0</v>
      </c>
      <c r="R596" s="63"/>
      <c r="S596" s="63"/>
      <c r="T596" s="64">
        <v>891071.33421661996</v>
      </c>
      <c r="U596" s="205"/>
    </row>
    <row r="597" spans="1:70" x14ac:dyDescent="0.25">
      <c r="A597" s="193">
        <f t="shared" si="59"/>
        <v>575</v>
      </c>
      <c r="B597" s="107">
        <f t="shared" si="60"/>
        <v>116</v>
      </c>
      <c r="C597" s="53" t="s">
        <v>108</v>
      </c>
      <c r="D597" s="107" t="s">
        <v>130</v>
      </c>
      <c r="E597" s="62">
        <f t="shared" si="58"/>
        <v>2354895.67749306</v>
      </c>
      <c r="F597" s="55"/>
      <c r="G597" s="63">
        <v>0</v>
      </c>
      <c r="H597" s="63">
        <v>1815463.98</v>
      </c>
      <c r="I597" s="63"/>
      <c r="J597" s="63">
        <v>0</v>
      </c>
      <c r="K597" s="63"/>
      <c r="L597" s="55"/>
      <c r="M597" s="63">
        <v>0</v>
      </c>
      <c r="N597" s="63"/>
      <c r="O597" s="63">
        <v>0</v>
      </c>
      <c r="P597" s="63"/>
      <c r="Q597" s="63">
        <v>0</v>
      </c>
      <c r="R597" s="63"/>
      <c r="S597" s="63"/>
      <c r="T597" s="64">
        <v>539431.69749306003</v>
      </c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</row>
    <row r="598" spans="1:70" x14ac:dyDescent="0.25">
      <c r="A598" s="193">
        <f t="shared" si="59"/>
        <v>576</v>
      </c>
      <c r="B598" s="107">
        <f t="shared" si="60"/>
        <v>117</v>
      </c>
      <c r="C598" s="53" t="s">
        <v>108</v>
      </c>
      <c r="D598" s="107" t="s">
        <v>131</v>
      </c>
      <c r="E598" s="62">
        <f t="shared" si="58"/>
        <v>7639878.99957918</v>
      </c>
      <c r="F598" s="55">
        <v>4667209.49</v>
      </c>
      <c r="G598" s="63">
        <v>0</v>
      </c>
      <c r="H598" s="63">
        <v>2134044.9700000002</v>
      </c>
      <c r="I598" s="63"/>
      <c r="J598" s="63"/>
      <c r="K598" s="63"/>
      <c r="L598" s="55"/>
      <c r="M598" s="63">
        <v>0</v>
      </c>
      <c r="N598" s="63"/>
      <c r="O598" s="63">
        <v>0</v>
      </c>
      <c r="P598" s="63"/>
      <c r="Q598" s="63">
        <v>0</v>
      </c>
      <c r="R598" s="63">
        <v>285328.31</v>
      </c>
      <c r="S598" s="63">
        <v>18000</v>
      </c>
      <c r="T598" s="64">
        <v>535296.22957918001</v>
      </c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</row>
    <row r="599" spans="1:70" x14ac:dyDescent="0.25">
      <c r="A599" s="193">
        <f t="shared" si="59"/>
        <v>577</v>
      </c>
      <c r="B599" s="107">
        <f t="shared" si="60"/>
        <v>118</v>
      </c>
      <c r="C599" s="53" t="s">
        <v>108</v>
      </c>
      <c r="D599" s="107" t="s">
        <v>331</v>
      </c>
      <c r="E599" s="62">
        <f t="shared" si="58"/>
        <v>5608840.0404917691</v>
      </c>
      <c r="F599" s="55">
        <v>0</v>
      </c>
      <c r="G599" s="63">
        <v>0</v>
      </c>
      <c r="H599" s="63">
        <v>0</v>
      </c>
      <c r="I599" s="63">
        <v>1287686.27947242</v>
      </c>
      <c r="J599" s="63">
        <v>0</v>
      </c>
      <c r="K599" s="63"/>
      <c r="L599" s="55">
        <v>0</v>
      </c>
      <c r="M599" s="63"/>
      <c r="N599" s="63"/>
      <c r="O599" s="63">
        <v>0</v>
      </c>
      <c r="P599" s="63"/>
      <c r="Q599" s="63">
        <v>3403846.79</v>
      </c>
      <c r="R599" s="63">
        <v>30956.92</v>
      </c>
      <c r="S599" s="63">
        <v>6000</v>
      </c>
      <c r="T599" s="64">
        <v>880350.05101934902</v>
      </c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</row>
    <row r="600" spans="1:70" x14ac:dyDescent="0.25">
      <c r="A600" s="193">
        <f t="shared" si="59"/>
        <v>578</v>
      </c>
      <c r="B600" s="107" t="s">
        <v>455</v>
      </c>
      <c r="C600" s="53" t="s">
        <v>108</v>
      </c>
      <c r="D600" s="53" t="s">
        <v>472</v>
      </c>
      <c r="E600" s="110">
        <f t="shared" si="58"/>
        <v>1237244.8999999999</v>
      </c>
      <c r="F600" s="55">
        <v>0</v>
      </c>
      <c r="G600" s="63">
        <v>0</v>
      </c>
      <c r="H600" s="63">
        <v>0</v>
      </c>
      <c r="I600" s="63">
        <v>0</v>
      </c>
      <c r="J600" s="63">
        <v>0</v>
      </c>
      <c r="K600" s="63"/>
      <c r="L600" s="55"/>
      <c r="M600" s="63">
        <v>0</v>
      </c>
      <c r="N600" s="63">
        <v>0</v>
      </c>
      <c r="O600" s="63">
        <v>0</v>
      </c>
      <c r="P600" s="63">
        <v>1237244.8999999999</v>
      </c>
      <c r="Q600" s="63">
        <v>0</v>
      </c>
      <c r="R600" s="63"/>
      <c r="S600" s="63"/>
      <c r="T600" s="64"/>
      <c r="U600" s="205"/>
    </row>
    <row r="601" spans="1:70" x14ac:dyDescent="0.25">
      <c r="A601" s="193">
        <f t="shared" si="59"/>
        <v>579</v>
      </c>
      <c r="B601" s="107">
        <f>+B599+1</f>
        <v>119</v>
      </c>
      <c r="C601" s="53" t="s">
        <v>108</v>
      </c>
      <c r="D601" s="107" t="s">
        <v>593</v>
      </c>
      <c r="E601" s="62">
        <f t="shared" si="58"/>
        <v>1069515.91491576</v>
      </c>
      <c r="F601" s="55">
        <v>0</v>
      </c>
      <c r="G601" s="63">
        <v>0</v>
      </c>
      <c r="H601" s="63">
        <v>0</v>
      </c>
      <c r="I601" s="63">
        <v>0</v>
      </c>
      <c r="J601" s="63">
        <v>1043888.04</v>
      </c>
      <c r="K601" s="63"/>
      <c r="L601" s="55"/>
      <c r="M601" s="63">
        <v>0</v>
      </c>
      <c r="N601" s="63">
        <v>0</v>
      </c>
      <c r="O601" s="63">
        <v>0</v>
      </c>
      <c r="P601" s="63">
        <v>0</v>
      </c>
      <c r="Q601" s="63">
        <v>0</v>
      </c>
      <c r="R601" s="63"/>
      <c r="S601" s="63"/>
      <c r="T601" s="64">
        <v>25627.87491576</v>
      </c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</row>
    <row r="602" spans="1:70" x14ac:dyDescent="0.25">
      <c r="A602" s="193">
        <f t="shared" si="59"/>
        <v>580</v>
      </c>
      <c r="B602" s="107">
        <v>120</v>
      </c>
      <c r="C602" s="53" t="s">
        <v>108</v>
      </c>
      <c r="D602" s="107" t="s">
        <v>594</v>
      </c>
      <c r="E602" s="62">
        <f t="shared" si="58"/>
        <v>1137882.68042862</v>
      </c>
      <c r="F602" s="55">
        <v>0</v>
      </c>
      <c r="G602" s="63">
        <v>0</v>
      </c>
      <c r="H602" s="63">
        <v>0</v>
      </c>
      <c r="I602" s="63">
        <v>0</v>
      </c>
      <c r="J602" s="63">
        <v>1112510.52</v>
      </c>
      <c r="K602" s="63"/>
      <c r="L602" s="55"/>
      <c r="M602" s="63">
        <v>0</v>
      </c>
      <c r="N602" s="63">
        <v>0</v>
      </c>
      <c r="O602" s="63">
        <v>0</v>
      </c>
      <c r="P602" s="63">
        <v>0</v>
      </c>
      <c r="Q602" s="63">
        <v>0</v>
      </c>
      <c r="R602" s="63"/>
      <c r="S602" s="63"/>
      <c r="T602" s="64">
        <v>25372.160428620002</v>
      </c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</row>
    <row r="603" spans="1:70" x14ac:dyDescent="0.25">
      <c r="A603" s="193">
        <f t="shared" si="59"/>
        <v>581</v>
      </c>
      <c r="B603" s="107">
        <f t="shared" ref="B603:B666" si="61">+B602+1</f>
        <v>121</v>
      </c>
      <c r="C603" s="53" t="s">
        <v>108</v>
      </c>
      <c r="D603" s="107" t="s">
        <v>134</v>
      </c>
      <c r="E603" s="62">
        <f t="shared" si="58"/>
        <v>30117126.761569109</v>
      </c>
      <c r="F603" s="55">
        <v>6531079.8989818199</v>
      </c>
      <c r="G603" s="63">
        <v>0</v>
      </c>
      <c r="H603" s="63">
        <v>0</v>
      </c>
      <c r="I603" s="63">
        <v>0</v>
      </c>
      <c r="J603" s="63"/>
      <c r="K603" s="63"/>
      <c r="L603" s="55">
        <v>250556.926690272</v>
      </c>
      <c r="M603" s="63">
        <v>0</v>
      </c>
      <c r="N603" s="63">
        <v>14196898.848430499</v>
      </c>
      <c r="O603" s="63">
        <v>0</v>
      </c>
      <c r="P603" s="63">
        <v>0</v>
      </c>
      <c r="Q603" s="63">
        <v>8501120.8100000005</v>
      </c>
      <c r="R603" s="63"/>
      <c r="S603" s="63"/>
      <c r="T603" s="64">
        <v>637470.27746651601</v>
      </c>
      <c r="U603" s="205"/>
    </row>
    <row r="604" spans="1:70" x14ac:dyDescent="0.25">
      <c r="A604" s="193">
        <f t="shared" si="59"/>
        <v>582</v>
      </c>
      <c r="B604" s="107">
        <f t="shared" si="61"/>
        <v>122</v>
      </c>
      <c r="C604" s="53" t="s">
        <v>108</v>
      </c>
      <c r="D604" s="107" t="s">
        <v>339</v>
      </c>
      <c r="E604" s="62">
        <f t="shared" si="58"/>
        <v>18083557.159370538</v>
      </c>
      <c r="F604" s="55">
        <v>8643306.5260717906</v>
      </c>
      <c r="G604" s="63">
        <v>3051788.9179595602</v>
      </c>
      <c r="H604" s="63"/>
      <c r="I604" s="63">
        <v>2954683.2</v>
      </c>
      <c r="J604" s="63">
        <v>1459023.88944373</v>
      </c>
      <c r="K604" s="63"/>
      <c r="L604" s="55">
        <v>312733.52125871403</v>
      </c>
      <c r="M604" s="63">
        <v>0</v>
      </c>
      <c r="N604" s="63"/>
      <c r="O604" s="63">
        <v>0</v>
      </c>
      <c r="P604" s="63">
        <v>0</v>
      </c>
      <c r="Q604" s="63">
        <v>0</v>
      </c>
      <c r="R604" s="63">
        <v>884407.15</v>
      </c>
      <c r="S604" s="63">
        <v>16000</v>
      </c>
      <c r="T604" s="64">
        <v>761613.95463674504</v>
      </c>
      <c r="U604" s="205"/>
    </row>
    <row r="605" spans="1:70" x14ac:dyDescent="0.25">
      <c r="A605" s="193">
        <f t="shared" si="59"/>
        <v>583</v>
      </c>
      <c r="B605" s="107">
        <f t="shared" si="61"/>
        <v>123</v>
      </c>
      <c r="C605" s="53" t="s">
        <v>108</v>
      </c>
      <c r="D605" s="107" t="s">
        <v>341</v>
      </c>
      <c r="E605" s="62">
        <f t="shared" si="58"/>
        <v>1944097.439937582</v>
      </c>
      <c r="F605" s="55"/>
      <c r="G605" s="63"/>
      <c r="H605" s="63"/>
      <c r="I605" s="63"/>
      <c r="J605" s="63">
        <v>1373738.52</v>
      </c>
      <c r="K605" s="63"/>
      <c r="L605" s="55"/>
      <c r="M605" s="63">
        <v>0</v>
      </c>
      <c r="N605" s="63">
        <v>0</v>
      </c>
      <c r="O605" s="63">
        <v>0</v>
      </c>
      <c r="P605" s="63">
        <v>0</v>
      </c>
      <c r="Q605" s="63">
        <v>0</v>
      </c>
      <c r="R605" s="63">
        <v>181225.43</v>
      </c>
      <c r="S605" s="63">
        <v>4800</v>
      </c>
      <c r="T605" s="64">
        <v>384333.489937582</v>
      </c>
      <c r="U605" s="205"/>
    </row>
    <row r="606" spans="1:70" x14ac:dyDescent="0.25">
      <c r="A606" s="193">
        <f t="shared" si="59"/>
        <v>584</v>
      </c>
      <c r="B606" s="107">
        <f t="shared" si="61"/>
        <v>124</v>
      </c>
      <c r="C606" s="53" t="s">
        <v>108</v>
      </c>
      <c r="D606" s="107" t="s">
        <v>595</v>
      </c>
      <c r="E606" s="62">
        <f t="shared" si="58"/>
        <v>36599470.779274605</v>
      </c>
      <c r="F606" s="55"/>
      <c r="G606" s="63">
        <v>2569498.1666174699</v>
      </c>
      <c r="H606" s="63">
        <v>2781035.5982677899</v>
      </c>
      <c r="I606" s="63">
        <v>1702285.74585747</v>
      </c>
      <c r="J606" s="63">
        <v>1236504.5566667099</v>
      </c>
      <c r="K606" s="63"/>
      <c r="L606" s="55"/>
      <c r="M606" s="63"/>
      <c r="N606" s="63"/>
      <c r="O606" s="63"/>
      <c r="P606" s="63">
        <v>19117612.313414998</v>
      </c>
      <c r="Q606" s="63">
        <v>7647211.0565302204</v>
      </c>
      <c r="R606" s="63">
        <v>1019999.62</v>
      </c>
      <c r="S606" s="63">
        <v>24000</v>
      </c>
      <c r="T606" s="64">
        <v>501323.72191994899</v>
      </c>
      <c r="U606" s="205"/>
    </row>
    <row r="607" spans="1:70" x14ac:dyDescent="0.25">
      <c r="A607" s="193">
        <f t="shared" si="59"/>
        <v>585</v>
      </c>
      <c r="B607" s="107">
        <f t="shared" si="61"/>
        <v>125</v>
      </c>
      <c r="C607" s="53" t="s">
        <v>108</v>
      </c>
      <c r="D607" s="107" t="s">
        <v>596</v>
      </c>
      <c r="E607" s="62">
        <f t="shared" si="58"/>
        <v>2062369.2205299998</v>
      </c>
      <c r="F607" s="55">
        <v>0</v>
      </c>
      <c r="G607" s="63">
        <v>0</v>
      </c>
      <c r="H607" s="63">
        <v>0</v>
      </c>
      <c r="I607" s="63">
        <v>0</v>
      </c>
      <c r="J607" s="63">
        <v>2028592.66</v>
      </c>
      <c r="K607" s="63"/>
      <c r="L607" s="55"/>
      <c r="M607" s="63">
        <v>0</v>
      </c>
      <c r="N607" s="63">
        <v>0</v>
      </c>
      <c r="O607" s="63">
        <v>0</v>
      </c>
      <c r="P607" s="63">
        <v>0</v>
      </c>
      <c r="Q607" s="63">
        <v>0</v>
      </c>
      <c r="R607" s="63"/>
      <c r="S607" s="63"/>
      <c r="T607" s="64">
        <v>33776.560530000002</v>
      </c>
      <c r="U607" s="205"/>
    </row>
    <row r="608" spans="1:70" x14ac:dyDescent="0.25">
      <c r="A608" s="193">
        <f t="shared" si="59"/>
        <v>586</v>
      </c>
      <c r="B608" s="107">
        <f t="shared" si="61"/>
        <v>126</v>
      </c>
      <c r="C608" s="53" t="s">
        <v>108</v>
      </c>
      <c r="D608" s="107" t="s">
        <v>332</v>
      </c>
      <c r="E608" s="62">
        <f t="shared" si="58"/>
        <v>9192362.4809199981</v>
      </c>
      <c r="F608" s="55">
        <v>0</v>
      </c>
      <c r="G608" s="63">
        <v>0</v>
      </c>
      <c r="H608" s="63">
        <v>0</v>
      </c>
      <c r="I608" s="63">
        <v>0</v>
      </c>
      <c r="J608" s="63"/>
      <c r="K608" s="63"/>
      <c r="L608" s="55"/>
      <c r="M608" s="63"/>
      <c r="N608" s="63"/>
      <c r="O608" s="63"/>
      <c r="P608" s="63"/>
      <c r="Q608" s="63">
        <v>8518226.9435696993</v>
      </c>
      <c r="R608" s="63">
        <v>457943.27</v>
      </c>
      <c r="S608" s="63">
        <v>25000</v>
      </c>
      <c r="T608" s="64">
        <v>191192.26735030001</v>
      </c>
      <c r="U608" s="205"/>
    </row>
    <row r="609" spans="1:70" x14ac:dyDescent="0.25">
      <c r="A609" s="193">
        <f t="shared" si="59"/>
        <v>587</v>
      </c>
      <c r="B609" s="107">
        <f t="shared" si="61"/>
        <v>127</v>
      </c>
      <c r="C609" s="53" t="s">
        <v>108</v>
      </c>
      <c r="D609" s="107" t="s">
        <v>597</v>
      </c>
      <c r="E609" s="62">
        <f t="shared" si="58"/>
        <v>5349768.025667198</v>
      </c>
      <c r="F609" s="55"/>
      <c r="G609" s="63">
        <v>5131838.1197179202</v>
      </c>
      <c r="H609" s="63"/>
      <c r="I609" s="63"/>
      <c r="J609" s="63"/>
      <c r="K609" s="63"/>
      <c r="L609" s="55"/>
      <c r="M609" s="63"/>
      <c r="N609" s="63"/>
      <c r="O609" s="63"/>
      <c r="P609" s="63"/>
      <c r="Q609" s="63"/>
      <c r="R609" s="63">
        <v>104543.65</v>
      </c>
      <c r="S609" s="63">
        <v>1163.3499999999999</v>
      </c>
      <c r="T609" s="64">
        <v>112222.90594927801</v>
      </c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</row>
    <row r="610" spans="1:70" x14ac:dyDescent="0.25">
      <c r="A610" s="193">
        <f t="shared" si="59"/>
        <v>588</v>
      </c>
      <c r="B610" s="107">
        <f t="shared" si="61"/>
        <v>128</v>
      </c>
      <c r="C610" s="53" t="s">
        <v>108</v>
      </c>
      <c r="D610" s="107" t="s">
        <v>598</v>
      </c>
      <c r="E610" s="62">
        <f t="shared" ref="E610:E673" si="62">SUBTOTAL(9, F610:T610)</f>
        <v>3722053.5363520025</v>
      </c>
      <c r="F610" s="55"/>
      <c r="G610" s="63">
        <v>3569615.4462360698</v>
      </c>
      <c r="H610" s="63"/>
      <c r="I610" s="63"/>
      <c r="J610" s="63"/>
      <c r="K610" s="63"/>
      <c r="L610" s="55"/>
      <c r="M610" s="63"/>
      <c r="N610" s="63"/>
      <c r="O610" s="63"/>
      <c r="P610" s="63"/>
      <c r="Q610" s="63"/>
      <c r="R610" s="63">
        <v>73559.27</v>
      </c>
      <c r="S610" s="63">
        <v>818.56</v>
      </c>
      <c r="T610" s="64">
        <v>78060.260115932804</v>
      </c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</row>
    <row r="611" spans="1:70" x14ac:dyDescent="0.25">
      <c r="A611" s="193">
        <f t="shared" ref="A611:A674" si="63">+A610+1</f>
        <v>589</v>
      </c>
      <c r="B611" s="107">
        <f t="shared" si="61"/>
        <v>129</v>
      </c>
      <c r="C611" s="53" t="s">
        <v>108</v>
      </c>
      <c r="D611" s="107" t="s">
        <v>333</v>
      </c>
      <c r="E611" s="62">
        <f t="shared" si="62"/>
        <v>21531432.290924501</v>
      </c>
      <c r="F611" s="55">
        <v>3048488.2820363599</v>
      </c>
      <c r="G611" s="63">
        <v>2451339</v>
      </c>
      <c r="H611" s="63"/>
      <c r="I611" s="63">
        <v>1193990.27</v>
      </c>
      <c r="J611" s="63">
        <v>498007.81255247601</v>
      </c>
      <c r="K611" s="63"/>
      <c r="L611" s="55">
        <v>112672.74739903701</v>
      </c>
      <c r="M611" s="63">
        <v>0</v>
      </c>
      <c r="N611" s="63"/>
      <c r="O611" s="63">
        <v>0</v>
      </c>
      <c r="P611" s="63">
        <v>8851876.6099999994</v>
      </c>
      <c r="Q611" s="63">
        <v>3978334.09</v>
      </c>
      <c r="R611" s="63">
        <v>981945.39</v>
      </c>
      <c r="S611" s="63">
        <v>20571.43</v>
      </c>
      <c r="T611" s="64">
        <v>394206.65893662901</v>
      </c>
      <c r="U611" s="205"/>
    </row>
    <row r="612" spans="1:70" x14ac:dyDescent="0.25">
      <c r="A612" s="193">
        <f t="shared" si="63"/>
        <v>590</v>
      </c>
      <c r="B612" s="107">
        <f t="shared" si="61"/>
        <v>130</v>
      </c>
      <c r="C612" s="53" t="s">
        <v>108</v>
      </c>
      <c r="D612" s="107" t="s">
        <v>599</v>
      </c>
      <c r="E612" s="62">
        <f t="shared" si="62"/>
        <v>10674924.839939507</v>
      </c>
      <c r="F612" s="55">
        <v>10082885.3290445</v>
      </c>
      <c r="G612" s="63">
        <v>0</v>
      </c>
      <c r="H612" s="63">
        <v>0</v>
      </c>
      <c r="I612" s="63">
        <v>0</v>
      </c>
      <c r="J612" s="63">
        <v>0</v>
      </c>
      <c r="K612" s="63"/>
      <c r="L612" s="55">
        <v>363596.11932030099</v>
      </c>
      <c r="M612" s="63">
        <v>0</v>
      </c>
      <c r="N612" s="63"/>
      <c r="O612" s="63">
        <v>0</v>
      </c>
      <c r="P612" s="63"/>
      <c r="Q612" s="63">
        <v>0</v>
      </c>
      <c r="R612" s="63"/>
      <c r="S612" s="63"/>
      <c r="T612" s="64">
        <v>228443.39157470499</v>
      </c>
      <c r="U612" s="205"/>
    </row>
    <row r="613" spans="1:70" x14ac:dyDescent="0.25">
      <c r="A613" s="193">
        <f t="shared" si="63"/>
        <v>591</v>
      </c>
      <c r="B613" s="107">
        <f t="shared" si="61"/>
        <v>131</v>
      </c>
      <c r="C613" s="53" t="s">
        <v>108</v>
      </c>
      <c r="D613" s="107" t="s">
        <v>600</v>
      </c>
      <c r="E613" s="62">
        <f t="shared" si="62"/>
        <v>1648547.78653384</v>
      </c>
      <c r="F613" s="55">
        <v>0</v>
      </c>
      <c r="G613" s="63">
        <v>0</v>
      </c>
      <c r="H613" s="63">
        <v>0</v>
      </c>
      <c r="I613" s="63">
        <v>0</v>
      </c>
      <c r="J613" s="63">
        <v>1625213.59</v>
      </c>
      <c r="K613" s="63"/>
      <c r="L613" s="55"/>
      <c r="M613" s="63">
        <v>0</v>
      </c>
      <c r="N613" s="63">
        <v>0</v>
      </c>
      <c r="O613" s="63">
        <v>0</v>
      </c>
      <c r="P613" s="63">
        <v>0</v>
      </c>
      <c r="Q613" s="63">
        <v>0</v>
      </c>
      <c r="R613" s="63"/>
      <c r="S613" s="63"/>
      <c r="T613" s="64">
        <v>23334.19653384</v>
      </c>
      <c r="U613" s="205"/>
    </row>
    <row r="614" spans="1:70" x14ac:dyDescent="0.25">
      <c r="A614" s="193">
        <f t="shared" si="63"/>
        <v>592</v>
      </c>
      <c r="B614" s="107">
        <f t="shared" si="61"/>
        <v>132</v>
      </c>
      <c r="C614" s="53" t="s">
        <v>108</v>
      </c>
      <c r="D614" s="107" t="s">
        <v>601</v>
      </c>
      <c r="E614" s="62">
        <f t="shared" si="62"/>
        <v>6020819.5475746179</v>
      </c>
      <c r="F614" s="55">
        <v>3811453.2757858401</v>
      </c>
      <c r="G614" s="63">
        <v>1833049.7373180699</v>
      </c>
      <c r="H614" s="63">
        <v>0</v>
      </c>
      <c r="I614" s="63">
        <v>0</v>
      </c>
      <c r="J614" s="63"/>
      <c r="K614" s="63"/>
      <c r="L614" s="55">
        <v>146248.291688611</v>
      </c>
      <c r="M614" s="63">
        <v>0</v>
      </c>
      <c r="N614" s="63">
        <v>0</v>
      </c>
      <c r="O614" s="63">
        <v>0</v>
      </c>
      <c r="P614" s="63">
        <v>0</v>
      </c>
      <c r="Q614" s="63">
        <v>0</v>
      </c>
      <c r="R614" s="63">
        <v>103436.24</v>
      </c>
      <c r="S614" s="63"/>
      <c r="T614" s="64">
        <v>126632.002782097</v>
      </c>
      <c r="U614" s="205"/>
    </row>
    <row r="615" spans="1:70" x14ac:dyDescent="0.25">
      <c r="A615" s="193">
        <f t="shared" si="63"/>
        <v>593</v>
      </c>
      <c r="B615" s="107">
        <f t="shared" si="61"/>
        <v>133</v>
      </c>
      <c r="C615" s="53" t="s">
        <v>108</v>
      </c>
      <c r="D615" s="107" t="s">
        <v>337</v>
      </c>
      <c r="E615" s="62">
        <f t="shared" si="62"/>
        <v>17808296.202141222</v>
      </c>
      <c r="F615" s="55">
        <v>9802523.5800000001</v>
      </c>
      <c r="G615" s="63">
        <v>2208206.3199999998</v>
      </c>
      <c r="H615" s="63"/>
      <c r="I615" s="63">
        <v>3680923.07</v>
      </c>
      <c r="J615" s="63"/>
      <c r="K615" s="63"/>
      <c r="L615" s="55">
        <v>296539.21750751999</v>
      </c>
      <c r="M615" s="63"/>
      <c r="N615" s="63"/>
      <c r="O615" s="63"/>
      <c r="P615" s="63"/>
      <c r="Q615" s="63"/>
      <c r="R615" s="63">
        <v>514798.65</v>
      </c>
      <c r="S615" s="63">
        <v>12000</v>
      </c>
      <c r="T615" s="64">
        <v>1293305.3646337001</v>
      </c>
      <c r="U615" s="205"/>
    </row>
    <row r="616" spans="1:70" x14ac:dyDescent="0.25">
      <c r="A616" s="193">
        <f t="shared" si="63"/>
        <v>594</v>
      </c>
      <c r="B616" s="107">
        <f t="shared" si="61"/>
        <v>134</v>
      </c>
      <c r="C616" s="53" t="s">
        <v>108</v>
      </c>
      <c r="D616" s="107" t="s">
        <v>136</v>
      </c>
      <c r="E616" s="62">
        <f t="shared" si="62"/>
        <v>6459328.3847494358</v>
      </c>
      <c r="F616" s="55">
        <v>6046174.0700000003</v>
      </c>
      <c r="G616" s="63">
        <v>0</v>
      </c>
      <c r="H616" s="63">
        <v>0</v>
      </c>
      <c r="I616" s="63">
        <v>0</v>
      </c>
      <c r="J616" s="63">
        <v>0</v>
      </c>
      <c r="K616" s="63"/>
      <c r="L616" s="55">
        <v>282605.80883354199</v>
      </c>
      <c r="M616" s="63">
        <v>0</v>
      </c>
      <c r="N616" s="63">
        <v>0</v>
      </c>
      <c r="O616" s="63">
        <v>0</v>
      </c>
      <c r="P616" s="63">
        <v>0</v>
      </c>
      <c r="Q616" s="63">
        <v>0</v>
      </c>
      <c r="R616" s="63"/>
      <c r="S616" s="63"/>
      <c r="T616" s="64">
        <v>130548.50591589299</v>
      </c>
      <c r="U616" s="205"/>
    </row>
    <row r="617" spans="1:70" x14ac:dyDescent="0.25">
      <c r="A617" s="193">
        <f t="shared" si="63"/>
        <v>595</v>
      </c>
      <c r="B617" s="107">
        <f t="shared" si="61"/>
        <v>135</v>
      </c>
      <c r="C617" s="53" t="s">
        <v>108</v>
      </c>
      <c r="D617" s="107" t="s">
        <v>141</v>
      </c>
      <c r="E617" s="62">
        <f t="shared" si="62"/>
        <v>19186415.65710675</v>
      </c>
      <c r="F617" s="55"/>
      <c r="G617" s="63"/>
      <c r="H617" s="63"/>
      <c r="I617" s="63"/>
      <c r="J617" s="63"/>
      <c r="K617" s="63"/>
      <c r="L617" s="55"/>
      <c r="M617" s="63"/>
      <c r="N617" s="63"/>
      <c r="O617" s="63"/>
      <c r="P617" s="63">
        <v>18493220.539999999</v>
      </c>
      <c r="Q617" s="63">
        <v>0</v>
      </c>
      <c r="R617" s="63">
        <v>150247.21</v>
      </c>
      <c r="S617" s="63">
        <v>24000</v>
      </c>
      <c r="T617" s="64">
        <v>518947.90710675</v>
      </c>
      <c r="U617" s="205"/>
    </row>
    <row r="618" spans="1:70" x14ac:dyDescent="0.25">
      <c r="A618" s="193">
        <f t="shared" si="63"/>
        <v>596</v>
      </c>
      <c r="B618" s="107">
        <f t="shared" si="61"/>
        <v>136</v>
      </c>
      <c r="C618" s="53" t="s">
        <v>108</v>
      </c>
      <c r="D618" s="107" t="s">
        <v>346</v>
      </c>
      <c r="E618" s="62">
        <f t="shared" si="62"/>
        <v>29041917.796176661</v>
      </c>
      <c r="F618" s="55">
        <v>0</v>
      </c>
      <c r="G618" s="63"/>
      <c r="H618" s="63">
        <v>3564721.82</v>
      </c>
      <c r="I618" s="63"/>
      <c r="J618" s="63"/>
      <c r="K618" s="63"/>
      <c r="L618" s="55"/>
      <c r="M618" s="63">
        <v>0</v>
      </c>
      <c r="N618" s="63">
        <v>0</v>
      </c>
      <c r="O618" s="63">
        <v>0</v>
      </c>
      <c r="P618" s="63">
        <v>24818398.010000002</v>
      </c>
      <c r="Q618" s="63">
        <v>0</v>
      </c>
      <c r="R618" s="63"/>
      <c r="S618" s="63"/>
      <c r="T618" s="64">
        <f>555416.30026576+103381.6659109</f>
        <v>658797.96617666003</v>
      </c>
      <c r="U618" s="205"/>
    </row>
    <row r="619" spans="1:70" x14ac:dyDescent="0.25">
      <c r="A619" s="193">
        <f t="shared" si="63"/>
        <v>597</v>
      </c>
      <c r="B619" s="107">
        <f t="shared" si="61"/>
        <v>137</v>
      </c>
      <c r="C619" s="53" t="s">
        <v>108</v>
      </c>
      <c r="D619" s="107" t="s">
        <v>143</v>
      </c>
      <c r="E619" s="62">
        <f t="shared" si="62"/>
        <v>35992521.462556697</v>
      </c>
      <c r="F619" s="55"/>
      <c r="G619" s="63"/>
      <c r="H619" s="63"/>
      <c r="I619" s="63"/>
      <c r="J619" s="63"/>
      <c r="K619" s="63"/>
      <c r="L619" s="55"/>
      <c r="M619" s="63">
        <v>0</v>
      </c>
      <c r="N619" s="63"/>
      <c r="O619" s="63">
        <v>0</v>
      </c>
      <c r="P619" s="63">
        <v>35601534.275782898</v>
      </c>
      <c r="Q619" s="63"/>
      <c r="R619" s="63"/>
      <c r="S619" s="63"/>
      <c r="T619" s="64">
        <v>390987.1867738</v>
      </c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</row>
    <row r="620" spans="1:70" x14ac:dyDescent="0.25">
      <c r="A620" s="193">
        <f t="shared" si="63"/>
        <v>598</v>
      </c>
      <c r="B620" s="107">
        <f t="shared" si="61"/>
        <v>138</v>
      </c>
      <c r="C620" s="53" t="s">
        <v>108</v>
      </c>
      <c r="D620" s="107" t="s">
        <v>603</v>
      </c>
      <c r="E620" s="62">
        <f t="shared" si="62"/>
        <v>12813150</v>
      </c>
      <c r="F620" s="55"/>
      <c r="G620" s="63"/>
      <c r="H620" s="63"/>
      <c r="I620" s="63"/>
      <c r="J620" s="63"/>
      <c r="K620" s="63"/>
      <c r="L620" s="55"/>
      <c r="M620" s="63">
        <v>12037390.646400001</v>
      </c>
      <c r="N620" s="63"/>
      <c r="O620" s="63"/>
      <c r="P620" s="63"/>
      <c r="Q620" s="63"/>
      <c r="R620" s="63">
        <v>384394.5</v>
      </c>
      <c r="S620" s="63">
        <v>128131.5</v>
      </c>
      <c r="T620" s="64">
        <v>263233.35359999997</v>
      </c>
      <c r="U620" s="205"/>
    </row>
    <row r="621" spans="1:70" x14ac:dyDescent="0.25">
      <c r="A621" s="193">
        <f t="shared" si="63"/>
        <v>599</v>
      </c>
      <c r="B621" s="107">
        <f t="shared" si="61"/>
        <v>139</v>
      </c>
      <c r="C621" s="53" t="s">
        <v>108</v>
      </c>
      <c r="D621" s="107" t="s">
        <v>147</v>
      </c>
      <c r="E621" s="62">
        <f t="shared" si="62"/>
        <v>2454097.0053653196</v>
      </c>
      <c r="F621" s="55"/>
      <c r="G621" s="63">
        <v>2315850.2599999998</v>
      </c>
      <c r="H621" s="63"/>
      <c r="I621" s="63"/>
      <c r="J621" s="63"/>
      <c r="K621" s="63"/>
      <c r="L621" s="55"/>
      <c r="M621" s="63"/>
      <c r="N621" s="63"/>
      <c r="O621" s="63">
        <v>0</v>
      </c>
      <c r="P621" s="63">
        <v>0</v>
      </c>
      <c r="Q621" s="63">
        <v>0</v>
      </c>
      <c r="R621" s="63"/>
      <c r="S621" s="63"/>
      <c r="T621" s="64">
        <v>138246.74536532001</v>
      </c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</row>
    <row r="622" spans="1:70" x14ac:dyDescent="0.25">
      <c r="A622" s="193">
        <f t="shared" si="63"/>
        <v>600</v>
      </c>
      <c r="B622" s="107">
        <f t="shared" si="61"/>
        <v>140</v>
      </c>
      <c r="C622" s="53" t="s">
        <v>108</v>
      </c>
      <c r="D622" s="107" t="s">
        <v>604</v>
      </c>
      <c r="E622" s="62">
        <f t="shared" si="62"/>
        <v>3922392.2040869799</v>
      </c>
      <c r="F622" s="55">
        <v>0</v>
      </c>
      <c r="G622" s="63">
        <v>0</v>
      </c>
      <c r="H622" s="63">
        <v>3846154.33</v>
      </c>
      <c r="I622" s="63">
        <v>0</v>
      </c>
      <c r="J622" s="63">
        <v>0</v>
      </c>
      <c r="K622" s="63"/>
      <c r="L622" s="55"/>
      <c r="M622" s="63">
        <v>0</v>
      </c>
      <c r="N622" s="63">
        <v>0</v>
      </c>
      <c r="O622" s="63">
        <v>0</v>
      </c>
      <c r="P622" s="63"/>
      <c r="Q622" s="63">
        <v>0</v>
      </c>
      <c r="R622" s="63"/>
      <c r="S622" s="63"/>
      <c r="T622" s="64">
        <v>76237.874086979995</v>
      </c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</row>
    <row r="623" spans="1:70" x14ac:dyDescent="0.25">
      <c r="A623" s="193">
        <f t="shared" si="63"/>
        <v>601</v>
      </c>
      <c r="B623" s="107">
        <f t="shared" si="61"/>
        <v>141</v>
      </c>
      <c r="C623" s="53" t="s">
        <v>108</v>
      </c>
      <c r="D623" s="107" t="s">
        <v>605</v>
      </c>
      <c r="E623" s="62">
        <f t="shared" si="62"/>
        <v>2317647.4899999998</v>
      </c>
      <c r="F623" s="55">
        <v>0</v>
      </c>
      <c r="G623" s="63">
        <v>0</v>
      </c>
      <c r="H623" s="63">
        <v>0</v>
      </c>
      <c r="I623" s="63">
        <v>0</v>
      </c>
      <c r="J623" s="63">
        <v>2156118.250734</v>
      </c>
      <c r="K623" s="63"/>
      <c r="L623" s="55"/>
      <c r="M623" s="63">
        <v>0</v>
      </c>
      <c r="N623" s="63">
        <v>0</v>
      </c>
      <c r="O623" s="63">
        <v>0</v>
      </c>
      <c r="P623" s="63">
        <v>0</v>
      </c>
      <c r="Q623" s="63">
        <v>0</v>
      </c>
      <c r="R623" s="63">
        <v>90379.3</v>
      </c>
      <c r="S623" s="63">
        <v>24000</v>
      </c>
      <c r="T623" s="64">
        <v>47149.939266000001</v>
      </c>
      <c r="U623" s="205"/>
    </row>
    <row r="624" spans="1:70" x14ac:dyDescent="0.25">
      <c r="A624" s="193">
        <f t="shared" si="63"/>
        <v>602</v>
      </c>
      <c r="B624" s="107">
        <f t="shared" si="61"/>
        <v>142</v>
      </c>
      <c r="C624" s="53" t="s">
        <v>108</v>
      </c>
      <c r="D624" s="107" t="s">
        <v>606</v>
      </c>
      <c r="E624" s="62">
        <f t="shared" si="62"/>
        <v>2325132.8914466277</v>
      </c>
      <c r="F624" s="55">
        <v>0</v>
      </c>
      <c r="G624" s="63">
        <v>0</v>
      </c>
      <c r="H624" s="63">
        <v>0</v>
      </c>
      <c r="I624" s="63">
        <v>0</v>
      </c>
      <c r="J624" s="63">
        <v>2147049.3115136698</v>
      </c>
      <c r="K624" s="63"/>
      <c r="L624" s="55"/>
      <c r="M624" s="63">
        <v>0</v>
      </c>
      <c r="N624" s="63">
        <v>0</v>
      </c>
      <c r="O624" s="63">
        <v>0</v>
      </c>
      <c r="P624" s="63">
        <v>0</v>
      </c>
      <c r="Q624" s="63">
        <v>0</v>
      </c>
      <c r="R624" s="63">
        <v>107131.96</v>
      </c>
      <c r="S624" s="63">
        <v>24000</v>
      </c>
      <c r="T624" s="64">
        <v>46951.619932957903</v>
      </c>
      <c r="U624" s="205"/>
    </row>
    <row r="625" spans="1:70" x14ac:dyDescent="0.25">
      <c r="A625" s="193">
        <f t="shared" si="63"/>
        <v>603</v>
      </c>
      <c r="B625" s="107">
        <f t="shared" si="61"/>
        <v>143</v>
      </c>
      <c r="C625" s="53" t="s">
        <v>108</v>
      </c>
      <c r="D625" s="107" t="s">
        <v>607</v>
      </c>
      <c r="E625" s="62">
        <f t="shared" si="62"/>
        <v>3377022.1383938035</v>
      </c>
      <c r="F625" s="55">
        <v>0</v>
      </c>
      <c r="G625" s="63">
        <v>1744049.29</v>
      </c>
      <c r="H625" s="63">
        <v>0</v>
      </c>
      <c r="I625" s="63">
        <v>1414570.36</v>
      </c>
      <c r="J625" s="63"/>
      <c r="K625" s="63"/>
      <c r="L625" s="55"/>
      <c r="M625" s="63">
        <v>0</v>
      </c>
      <c r="N625" s="63">
        <v>0</v>
      </c>
      <c r="O625" s="63">
        <v>0</v>
      </c>
      <c r="P625" s="63">
        <v>0</v>
      </c>
      <c r="Q625" s="63">
        <v>0</v>
      </c>
      <c r="R625" s="63">
        <v>94862.92</v>
      </c>
      <c r="S625" s="63">
        <v>24000</v>
      </c>
      <c r="T625" s="64">
        <v>99539.568393802998</v>
      </c>
      <c r="U625" s="205"/>
    </row>
    <row r="626" spans="1:70" x14ac:dyDescent="0.25">
      <c r="A626" s="193">
        <f t="shared" si="63"/>
        <v>604</v>
      </c>
      <c r="B626" s="107">
        <f t="shared" si="61"/>
        <v>144</v>
      </c>
      <c r="C626" s="53" t="s">
        <v>108</v>
      </c>
      <c r="D626" s="107" t="s">
        <v>350</v>
      </c>
      <c r="E626" s="62">
        <f t="shared" si="62"/>
        <v>2067021.5279505621</v>
      </c>
      <c r="F626" s="55"/>
      <c r="G626" s="63"/>
      <c r="H626" s="63"/>
      <c r="I626" s="63"/>
      <c r="J626" s="63">
        <v>1211587.8700000001</v>
      </c>
      <c r="K626" s="63"/>
      <c r="L626" s="55">
        <v>0</v>
      </c>
      <c r="M626" s="63">
        <v>0</v>
      </c>
      <c r="N626" s="63"/>
      <c r="O626" s="63">
        <v>0</v>
      </c>
      <c r="P626" s="63"/>
      <c r="Q626" s="63"/>
      <c r="R626" s="63"/>
      <c r="S626" s="63"/>
      <c r="T626" s="64">
        <v>855433.65795056196</v>
      </c>
      <c r="U626" s="205"/>
    </row>
    <row r="627" spans="1:70" x14ac:dyDescent="0.25">
      <c r="A627" s="193">
        <f t="shared" si="63"/>
        <v>605</v>
      </c>
      <c r="B627" s="107">
        <f t="shared" si="61"/>
        <v>145</v>
      </c>
      <c r="C627" s="53" t="s">
        <v>108</v>
      </c>
      <c r="D627" s="107" t="s">
        <v>351</v>
      </c>
      <c r="E627" s="62">
        <f t="shared" si="62"/>
        <v>2058287.3748469229</v>
      </c>
      <c r="F627" s="55"/>
      <c r="G627" s="63"/>
      <c r="H627" s="63"/>
      <c r="I627" s="63"/>
      <c r="J627" s="63">
        <v>1210025.69</v>
      </c>
      <c r="K627" s="63"/>
      <c r="L627" s="55">
        <v>0</v>
      </c>
      <c r="M627" s="63">
        <v>0</v>
      </c>
      <c r="N627" s="63"/>
      <c r="O627" s="63">
        <v>0</v>
      </c>
      <c r="P627" s="63"/>
      <c r="Q627" s="63"/>
      <c r="R627" s="63"/>
      <c r="S627" s="63"/>
      <c r="T627" s="64">
        <v>848261.68484692299</v>
      </c>
      <c r="U627" s="205"/>
    </row>
    <row r="628" spans="1:70" x14ac:dyDescent="0.25">
      <c r="A628" s="193">
        <f t="shared" si="63"/>
        <v>606</v>
      </c>
      <c r="B628" s="107">
        <f t="shared" si="61"/>
        <v>146</v>
      </c>
      <c r="C628" s="53" t="s">
        <v>108</v>
      </c>
      <c r="D628" s="107" t="s">
        <v>154</v>
      </c>
      <c r="E628" s="62">
        <f t="shared" si="62"/>
        <v>5232438.4238860002</v>
      </c>
      <c r="F628" s="55">
        <v>0</v>
      </c>
      <c r="G628" s="63">
        <v>0</v>
      </c>
      <c r="H628" s="63">
        <v>5108867.6053762203</v>
      </c>
      <c r="I628" s="63">
        <v>0</v>
      </c>
      <c r="J628" s="63"/>
      <c r="K628" s="63"/>
      <c r="L628" s="55"/>
      <c r="M628" s="63">
        <v>0</v>
      </c>
      <c r="N628" s="63">
        <v>0</v>
      </c>
      <c r="O628" s="63">
        <v>0</v>
      </c>
      <c r="P628" s="63">
        <v>0</v>
      </c>
      <c r="Q628" s="63">
        <v>0</v>
      </c>
      <c r="R628" s="63"/>
      <c r="S628" s="63"/>
      <c r="T628" s="64">
        <v>123570.81850978</v>
      </c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</row>
    <row r="629" spans="1:70" x14ac:dyDescent="0.25">
      <c r="A629" s="193">
        <f t="shared" si="63"/>
        <v>607</v>
      </c>
      <c r="B629" s="107">
        <f t="shared" si="61"/>
        <v>147</v>
      </c>
      <c r="C629" s="53" t="s">
        <v>108</v>
      </c>
      <c r="D629" s="107" t="s">
        <v>353</v>
      </c>
      <c r="E629" s="62">
        <f t="shared" si="62"/>
        <v>35600106.149707973</v>
      </c>
      <c r="F629" s="55">
        <v>6144729.9015154103</v>
      </c>
      <c r="G629" s="63">
        <v>3579457.7618007301</v>
      </c>
      <c r="H629" s="63"/>
      <c r="I629" s="63"/>
      <c r="J629" s="63">
        <v>1375468.2230831799</v>
      </c>
      <c r="K629" s="63"/>
      <c r="L629" s="55">
        <v>292698.95808608597</v>
      </c>
      <c r="M629" s="63"/>
      <c r="N629" s="63"/>
      <c r="O629" s="63"/>
      <c r="P629" s="63">
        <v>22115449.1287481</v>
      </c>
      <c r="Q629" s="63"/>
      <c r="R629" s="63">
        <v>1004108.93</v>
      </c>
      <c r="S629" s="63">
        <v>17142.86</v>
      </c>
      <c r="T629" s="64">
        <v>1071050.3864744699</v>
      </c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</row>
    <row r="630" spans="1:70" x14ac:dyDescent="0.25">
      <c r="A630" s="193">
        <f t="shared" si="63"/>
        <v>608</v>
      </c>
      <c r="B630" s="107">
        <f t="shared" si="61"/>
        <v>148</v>
      </c>
      <c r="C630" s="53" t="s">
        <v>108</v>
      </c>
      <c r="D630" s="107" t="s">
        <v>608</v>
      </c>
      <c r="E630" s="62">
        <f t="shared" si="62"/>
        <v>35751773.618959837</v>
      </c>
      <c r="F630" s="55">
        <v>14953037.039999999</v>
      </c>
      <c r="G630" s="63">
        <v>6869704.5973592401</v>
      </c>
      <c r="H630" s="63">
        <v>8171118.1097510997</v>
      </c>
      <c r="I630" s="63">
        <v>3937651.5042933598</v>
      </c>
      <c r="J630" s="63">
        <v>0</v>
      </c>
      <c r="K630" s="63"/>
      <c r="L630" s="55">
        <v>952026.39550956001</v>
      </c>
      <c r="M630" s="63">
        <v>0</v>
      </c>
      <c r="N630" s="63"/>
      <c r="O630" s="63">
        <v>0</v>
      </c>
      <c r="P630" s="63">
        <v>0</v>
      </c>
      <c r="Q630" s="63">
        <v>0</v>
      </c>
      <c r="R630" s="63"/>
      <c r="S630" s="63"/>
      <c r="T630" s="64">
        <v>868235.97204658005</v>
      </c>
      <c r="U630" s="205"/>
    </row>
    <row r="631" spans="1:70" x14ac:dyDescent="0.25">
      <c r="A631" s="193">
        <f t="shared" si="63"/>
        <v>609</v>
      </c>
      <c r="B631" s="107">
        <f t="shared" si="61"/>
        <v>149</v>
      </c>
      <c r="C631" s="53" t="s">
        <v>108</v>
      </c>
      <c r="D631" s="107" t="s">
        <v>609</v>
      </c>
      <c r="E631" s="62">
        <f t="shared" si="62"/>
        <v>16958003.263075899</v>
      </c>
      <c r="F631" s="55">
        <v>0</v>
      </c>
      <c r="G631" s="63">
        <v>0</v>
      </c>
      <c r="H631" s="63">
        <v>0</v>
      </c>
      <c r="I631" s="63">
        <v>0</v>
      </c>
      <c r="J631" s="63">
        <v>2781639.6</v>
      </c>
      <c r="K631" s="63"/>
      <c r="L631" s="55"/>
      <c r="M631" s="63">
        <v>0</v>
      </c>
      <c r="N631" s="63">
        <v>0</v>
      </c>
      <c r="O631" s="63">
        <v>0</v>
      </c>
      <c r="P631" s="63">
        <v>0</v>
      </c>
      <c r="Q631" s="63">
        <v>13564306.14693</v>
      </c>
      <c r="R631" s="63">
        <v>279685.95</v>
      </c>
      <c r="S631" s="63">
        <v>24000</v>
      </c>
      <c r="T631" s="64">
        <v>308371.5661459</v>
      </c>
      <c r="U631" s="205"/>
    </row>
    <row r="632" spans="1:70" x14ac:dyDescent="0.25">
      <c r="A632" s="193">
        <f t="shared" si="63"/>
        <v>610</v>
      </c>
      <c r="B632" s="107">
        <f t="shared" si="61"/>
        <v>150</v>
      </c>
      <c r="C632" s="53" t="s">
        <v>108</v>
      </c>
      <c r="D632" s="107" t="s">
        <v>610</v>
      </c>
      <c r="E632" s="62">
        <f t="shared" si="62"/>
        <v>4271050</v>
      </c>
      <c r="F632" s="55"/>
      <c r="G632" s="63"/>
      <c r="H632" s="63"/>
      <c r="I632" s="63"/>
      <c r="J632" s="63"/>
      <c r="K632" s="63"/>
      <c r="L632" s="55"/>
      <c r="M632" s="63">
        <v>4012463.5488</v>
      </c>
      <c r="N632" s="63"/>
      <c r="O632" s="63"/>
      <c r="P632" s="63"/>
      <c r="Q632" s="63"/>
      <c r="R632" s="63">
        <v>128131.5</v>
      </c>
      <c r="S632" s="63">
        <v>42710.5</v>
      </c>
      <c r="T632" s="64">
        <v>87744.451199999996</v>
      </c>
      <c r="U632" s="205"/>
    </row>
    <row r="633" spans="1:70" x14ac:dyDescent="0.25">
      <c r="A633" s="193">
        <f t="shared" si="63"/>
        <v>611</v>
      </c>
      <c r="B633" s="107">
        <f t="shared" si="61"/>
        <v>151</v>
      </c>
      <c r="C633" s="53" t="s">
        <v>108</v>
      </c>
      <c r="D633" s="107" t="s">
        <v>611</v>
      </c>
      <c r="E633" s="62">
        <f t="shared" si="62"/>
        <v>1824742.7145551301</v>
      </c>
      <c r="F633" s="55"/>
      <c r="G633" s="63"/>
      <c r="H633" s="63"/>
      <c r="I633" s="63"/>
      <c r="J633" s="63">
        <v>1410134.84157565</v>
      </c>
      <c r="K633" s="63"/>
      <c r="L633" s="55"/>
      <c r="M633" s="63"/>
      <c r="N633" s="63"/>
      <c r="O633" s="63"/>
      <c r="P633" s="63"/>
      <c r="Q633" s="63"/>
      <c r="R633" s="63">
        <v>359771.08</v>
      </c>
      <c r="S633" s="63">
        <v>24000</v>
      </c>
      <c r="T633" s="64">
        <v>30836.792979479898</v>
      </c>
      <c r="U633" s="205"/>
    </row>
    <row r="634" spans="1:70" x14ac:dyDescent="0.25">
      <c r="A634" s="193">
        <f t="shared" si="63"/>
        <v>612</v>
      </c>
      <c r="B634" s="107">
        <f t="shared" si="61"/>
        <v>152</v>
      </c>
      <c r="C634" s="53" t="s">
        <v>108</v>
      </c>
      <c r="D634" s="107" t="s">
        <v>612</v>
      </c>
      <c r="E634" s="62">
        <f t="shared" si="62"/>
        <v>1795945.4259955955</v>
      </c>
      <c r="F634" s="55"/>
      <c r="G634" s="63"/>
      <c r="H634" s="63"/>
      <c r="I634" s="63"/>
      <c r="J634" s="63">
        <v>1382673.19363729</v>
      </c>
      <c r="K634" s="63"/>
      <c r="L634" s="55"/>
      <c r="M634" s="63"/>
      <c r="N634" s="63"/>
      <c r="O634" s="63"/>
      <c r="P634" s="63"/>
      <c r="Q634" s="63"/>
      <c r="R634" s="63">
        <v>359035.97</v>
      </c>
      <c r="S634" s="63">
        <v>24000</v>
      </c>
      <c r="T634" s="64">
        <v>30236.262358305601</v>
      </c>
      <c r="U634" s="205"/>
    </row>
    <row r="635" spans="1:70" x14ac:dyDescent="0.25">
      <c r="A635" s="193">
        <f t="shared" si="63"/>
        <v>613</v>
      </c>
      <c r="B635" s="107">
        <f t="shared" si="61"/>
        <v>153</v>
      </c>
      <c r="C635" s="53" t="s">
        <v>108</v>
      </c>
      <c r="D635" s="107" t="s">
        <v>613</v>
      </c>
      <c r="E635" s="62">
        <f t="shared" si="62"/>
        <v>1819678.224209677</v>
      </c>
      <c r="F635" s="55"/>
      <c r="G635" s="63"/>
      <c r="H635" s="63"/>
      <c r="I635" s="63"/>
      <c r="J635" s="63">
        <v>1405224.35365559</v>
      </c>
      <c r="K635" s="63"/>
      <c r="L635" s="55"/>
      <c r="M635" s="63"/>
      <c r="N635" s="63"/>
      <c r="O635" s="63"/>
      <c r="P635" s="63"/>
      <c r="Q635" s="63"/>
      <c r="R635" s="63">
        <v>359724.46</v>
      </c>
      <c r="S635" s="63">
        <v>24000</v>
      </c>
      <c r="T635" s="64">
        <v>30729.410554087099</v>
      </c>
      <c r="U635" s="205"/>
    </row>
    <row r="636" spans="1:70" x14ac:dyDescent="0.25">
      <c r="A636" s="193">
        <f t="shared" si="63"/>
        <v>614</v>
      </c>
      <c r="B636" s="107">
        <f t="shared" si="61"/>
        <v>154</v>
      </c>
      <c r="C636" s="53" t="s">
        <v>108</v>
      </c>
      <c r="D636" s="107" t="s">
        <v>614</v>
      </c>
      <c r="E636" s="62">
        <f t="shared" si="62"/>
        <v>3674600.0432919995</v>
      </c>
      <c r="F636" s="55">
        <v>0</v>
      </c>
      <c r="G636" s="63">
        <v>0</v>
      </c>
      <c r="H636" s="63">
        <v>0</v>
      </c>
      <c r="I636" s="63">
        <v>0</v>
      </c>
      <c r="J636" s="63">
        <v>0</v>
      </c>
      <c r="K636" s="63"/>
      <c r="L636" s="55"/>
      <c r="M636" s="63">
        <v>0</v>
      </c>
      <c r="N636" s="63">
        <v>3263979.76</v>
      </c>
      <c r="O636" s="63">
        <v>0</v>
      </c>
      <c r="P636" s="63">
        <v>0</v>
      </c>
      <c r="Q636" s="63">
        <v>0</v>
      </c>
      <c r="R636" s="63">
        <v>82997.759999999995</v>
      </c>
      <c r="S636" s="63">
        <v>27348</v>
      </c>
      <c r="T636" s="64">
        <v>300274.523292</v>
      </c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</row>
    <row r="637" spans="1:70" x14ac:dyDescent="0.25">
      <c r="A637" s="193">
        <f t="shared" si="63"/>
        <v>615</v>
      </c>
      <c r="B637" s="107">
        <f t="shared" si="61"/>
        <v>155</v>
      </c>
      <c r="C637" s="53" t="s">
        <v>108</v>
      </c>
      <c r="D637" s="107" t="s">
        <v>354</v>
      </c>
      <c r="E637" s="62">
        <f t="shared" si="62"/>
        <v>27860101.256824102</v>
      </c>
      <c r="F637" s="55"/>
      <c r="G637" s="63">
        <v>3038066.69</v>
      </c>
      <c r="H637" s="63"/>
      <c r="I637" s="63"/>
      <c r="J637" s="63">
        <v>2553507.6</v>
      </c>
      <c r="K637" s="63"/>
      <c r="L637" s="55"/>
      <c r="M637" s="63"/>
      <c r="N637" s="63"/>
      <c r="O637" s="63"/>
      <c r="P637" s="63">
        <v>19577560.800000001</v>
      </c>
      <c r="Q637" s="63"/>
      <c r="R637" s="63">
        <v>979242.55</v>
      </c>
      <c r="S637" s="63">
        <v>24000</v>
      </c>
      <c r="T637" s="64">
        <v>1687723.6168241</v>
      </c>
      <c r="U637" s="205"/>
    </row>
    <row r="638" spans="1:70" x14ac:dyDescent="0.25">
      <c r="A638" s="193">
        <f t="shared" si="63"/>
        <v>616</v>
      </c>
      <c r="B638" s="107">
        <f t="shared" si="61"/>
        <v>156</v>
      </c>
      <c r="C638" s="53" t="s">
        <v>108</v>
      </c>
      <c r="D638" s="107" t="s">
        <v>355</v>
      </c>
      <c r="E638" s="62">
        <f t="shared" si="62"/>
        <v>18450460.628801651</v>
      </c>
      <c r="F638" s="55"/>
      <c r="G638" s="63"/>
      <c r="H638" s="63">
        <v>0</v>
      </c>
      <c r="I638" s="63">
        <v>0</v>
      </c>
      <c r="J638" s="63"/>
      <c r="K638" s="63"/>
      <c r="L638" s="55"/>
      <c r="M638" s="63">
        <v>0</v>
      </c>
      <c r="N638" s="63">
        <v>18030840.160843901</v>
      </c>
      <c r="O638" s="63">
        <v>0</v>
      </c>
      <c r="P638" s="63">
        <v>0</v>
      </c>
      <c r="Q638" s="63">
        <v>0</v>
      </c>
      <c r="R638" s="63"/>
      <c r="S638" s="63"/>
      <c r="T638" s="64">
        <v>419620.46795775002</v>
      </c>
      <c r="U638" s="205"/>
    </row>
    <row r="639" spans="1:70" x14ac:dyDescent="0.25">
      <c r="A639" s="193">
        <f t="shared" si="63"/>
        <v>617</v>
      </c>
      <c r="B639" s="107">
        <f t="shared" si="61"/>
        <v>157</v>
      </c>
      <c r="C639" s="53" t="s">
        <v>108</v>
      </c>
      <c r="D639" s="107" t="s">
        <v>156</v>
      </c>
      <c r="E639" s="62">
        <f t="shared" si="62"/>
        <v>13555032.573581228</v>
      </c>
      <c r="F639" s="55">
        <v>0</v>
      </c>
      <c r="G639" s="63">
        <v>6335311.5899999999</v>
      </c>
      <c r="H639" s="63"/>
      <c r="I639" s="63">
        <v>4510734.7664400004</v>
      </c>
      <c r="J639" s="63">
        <v>2080667.57</v>
      </c>
      <c r="K639" s="63"/>
      <c r="L639" s="55"/>
      <c r="M639" s="63">
        <v>0</v>
      </c>
      <c r="N639" s="63">
        <v>0</v>
      </c>
      <c r="O639" s="63">
        <v>0</v>
      </c>
      <c r="P639" s="63">
        <v>0</v>
      </c>
      <c r="Q639" s="63"/>
      <c r="R639" s="63"/>
      <c r="S639" s="63"/>
      <c r="T639" s="64">
        <v>628318.64714122796</v>
      </c>
      <c r="U639" s="205"/>
    </row>
    <row r="640" spans="1:70" x14ac:dyDescent="0.25">
      <c r="A640" s="193">
        <f t="shared" si="63"/>
        <v>618</v>
      </c>
      <c r="B640" s="107">
        <f t="shared" si="61"/>
        <v>158</v>
      </c>
      <c r="C640" s="53" t="s">
        <v>108</v>
      </c>
      <c r="D640" s="107" t="s">
        <v>615</v>
      </c>
      <c r="E640" s="62">
        <f t="shared" si="62"/>
        <v>14636422.305</v>
      </c>
      <c r="F640" s="55"/>
      <c r="G640" s="63"/>
      <c r="H640" s="63"/>
      <c r="I640" s="63"/>
      <c r="J640" s="63"/>
      <c r="K640" s="63"/>
      <c r="L640" s="55"/>
      <c r="M640" s="63"/>
      <c r="N640" s="63"/>
      <c r="O640" s="63"/>
      <c r="P640" s="63">
        <v>14323202.867673</v>
      </c>
      <c r="Q640" s="63"/>
      <c r="R640" s="63"/>
      <c r="S640" s="63"/>
      <c r="T640" s="64">
        <v>313219.43732700002</v>
      </c>
      <c r="U640" s="205"/>
    </row>
    <row r="641" spans="1:70" x14ac:dyDescent="0.25">
      <c r="A641" s="193">
        <f t="shared" si="63"/>
        <v>619</v>
      </c>
      <c r="B641" s="107">
        <f t="shared" si="61"/>
        <v>159</v>
      </c>
      <c r="C641" s="53" t="s">
        <v>108</v>
      </c>
      <c r="D641" s="107" t="s">
        <v>616</v>
      </c>
      <c r="E641" s="62">
        <f t="shared" si="62"/>
        <v>21716000.929203019</v>
      </c>
      <c r="F641" s="55">
        <v>9072553.7200000007</v>
      </c>
      <c r="G641" s="63">
        <v>0</v>
      </c>
      <c r="H641" s="63">
        <v>2627592.04</v>
      </c>
      <c r="I641" s="63">
        <v>0</v>
      </c>
      <c r="J641" s="63">
        <v>0</v>
      </c>
      <c r="K641" s="63"/>
      <c r="L641" s="55">
        <v>0</v>
      </c>
      <c r="M641" s="63">
        <v>0</v>
      </c>
      <c r="N641" s="63">
        <v>0</v>
      </c>
      <c r="O641" s="63">
        <v>0</v>
      </c>
      <c r="P641" s="63">
        <v>9323003.8499999996</v>
      </c>
      <c r="Q641" s="63">
        <v>0</v>
      </c>
      <c r="R641" s="63"/>
      <c r="S641" s="63"/>
      <c r="T641" s="64">
        <v>692851.31920301996</v>
      </c>
      <c r="U641" s="205"/>
    </row>
    <row r="642" spans="1:70" x14ac:dyDescent="0.25">
      <c r="A642" s="193">
        <f t="shared" si="63"/>
        <v>620</v>
      </c>
      <c r="B642" s="107">
        <f t="shared" si="61"/>
        <v>160</v>
      </c>
      <c r="C642" s="53" t="s">
        <v>108</v>
      </c>
      <c r="D642" s="107" t="s">
        <v>617</v>
      </c>
      <c r="E642" s="62">
        <f t="shared" si="62"/>
        <v>2558096.0112933801</v>
      </c>
      <c r="F642" s="55">
        <v>0</v>
      </c>
      <c r="G642" s="63">
        <v>2429379.13</v>
      </c>
      <c r="H642" s="63">
        <v>0</v>
      </c>
      <c r="I642" s="63">
        <v>0</v>
      </c>
      <c r="J642" s="63"/>
      <c r="K642" s="63"/>
      <c r="L642" s="55"/>
      <c r="M642" s="63">
        <v>0</v>
      </c>
      <c r="N642" s="63">
        <v>0</v>
      </c>
      <c r="O642" s="63">
        <v>0</v>
      </c>
      <c r="P642" s="63">
        <v>0</v>
      </c>
      <c r="Q642" s="63">
        <v>0</v>
      </c>
      <c r="R642" s="63">
        <v>56303.72</v>
      </c>
      <c r="S642" s="63">
        <v>24000</v>
      </c>
      <c r="T642" s="64">
        <v>48413.161293379999</v>
      </c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</row>
    <row r="643" spans="1:70" x14ac:dyDescent="0.25">
      <c r="A643" s="193">
        <f t="shared" si="63"/>
        <v>621</v>
      </c>
      <c r="B643" s="107">
        <f t="shared" si="61"/>
        <v>161</v>
      </c>
      <c r="C643" s="53" t="s">
        <v>108</v>
      </c>
      <c r="D643" s="107" t="s">
        <v>158</v>
      </c>
      <c r="E643" s="62">
        <f t="shared" si="62"/>
        <v>5930894.574</v>
      </c>
      <c r="F643" s="55"/>
      <c r="G643" s="63"/>
      <c r="H643" s="63"/>
      <c r="I643" s="63"/>
      <c r="J643" s="63"/>
      <c r="K643" s="63"/>
      <c r="L643" s="55"/>
      <c r="M643" s="63"/>
      <c r="N643" s="63"/>
      <c r="O643" s="63"/>
      <c r="P643" s="63">
        <v>5803973.4301164001</v>
      </c>
      <c r="Q643" s="63"/>
      <c r="R643" s="63"/>
      <c r="S643" s="63"/>
      <c r="T643" s="64">
        <v>126921.1438836</v>
      </c>
      <c r="U643" s="205"/>
    </row>
    <row r="644" spans="1:70" x14ac:dyDescent="0.25">
      <c r="A644" s="193">
        <f t="shared" si="63"/>
        <v>622</v>
      </c>
      <c r="B644" s="107">
        <f t="shared" si="61"/>
        <v>162</v>
      </c>
      <c r="C644" s="53" t="s">
        <v>108</v>
      </c>
      <c r="D644" s="107" t="s">
        <v>159</v>
      </c>
      <c r="E644" s="62">
        <f t="shared" si="62"/>
        <v>1447716.48246928</v>
      </c>
      <c r="F644" s="55"/>
      <c r="G644" s="63">
        <v>773824.99</v>
      </c>
      <c r="H644" s="63"/>
      <c r="I644" s="63">
        <v>492005.51</v>
      </c>
      <c r="J644" s="63"/>
      <c r="K644" s="63"/>
      <c r="L644" s="55"/>
      <c r="M644" s="63">
        <v>0</v>
      </c>
      <c r="N644" s="63"/>
      <c r="O644" s="63">
        <v>0</v>
      </c>
      <c r="P644" s="63">
        <v>0</v>
      </c>
      <c r="Q644" s="63">
        <v>0</v>
      </c>
      <c r="R644" s="63"/>
      <c r="S644" s="63"/>
      <c r="T644" s="64">
        <v>181885.98246927999</v>
      </c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</row>
    <row r="645" spans="1:70" x14ac:dyDescent="0.25">
      <c r="A645" s="193">
        <f t="shared" si="63"/>
        <v>623</v>
      </c>
      <c r="B645" s="107">
        <f t="shared" si="61"/>
        <v>163</v>
      </c>
      <c r="C645" s="53" t="s">
        <v>108</v>
      </c>
      <c r="D645" s="107" t="s">
        <v>357</v>
      </c>
      <c r="E645" s="62">
        <f t="shared" si="62"/>
        <v>10836257.34216377</v>
      </c>
      <c r="F645" s="55">
        <v>4525107.2259669397</v>
      </c>
      <c r="G645" s="63">
        <v>2796445.91115807</v>
      </c>
      <c r="H645" s="63">
        <v>1312542.35195631</v>
      </c>
      <c r="I645" s="63">
        <v>1144056.1189434701</v>
      </c>
      <c r="J645" s="63"/>
      <c r="K645" s="63"/>
      <c r="L645" s="55">
        <v>433409.41392000002</v>
      </c>
      <c r="M645" s="63">
        <v>0</v>
      </c>
      <c r="N645" s="63"/>
      <c r="O645" s="63">
        <v>0</v>
      </c>
      <c r="P645" s="63">
        <v>0</v>
      </c>
      <c r="Q645" s="63">
        <v>0</v>
      </c>
      <c r="R645" s="63">
        <v>133368.73000000001</v>
      </c>
      <c r="S645" s="63">
        <v>24000</v>
      </c>
      <c r="T645" s="64">
        <v>467327.59021897998</v>
      </c>
      <c r="U645" s="205"/>
    </row>
    <row r="646" spans="1:70" x14ac:dyDescent="0.25">
      <c r="A646" s="193">
        <f t="shared" si="63"/>
        <v>624</v>
      </c>
      <c r="B646" s="107">
        <f t="shared" si="61"/>
        <v>164</v>
      </c>
      <c r="C646" s="53" t="s">
        <v>108</v>
      </c>
      <c r="D646" s="107" t="s">
        <v>618</v>
      </c>
      <c r="E646" s="62">
        <f t="shared" si="62"/>
        <v>9689035.8901999984</v>
      </c>
      <c r="F646" s="55">
        <v>0</v>
      </c>
      <c r="G646" s="63">
        <v>0</v>
      </c>
      <c r="H646" s="63">
        <v>0</v>
      </c>
      <c r="I646" s="63">
        <v>0</v>
      </c>
      <c r="J646" s="63">
        <v>0</v>
      </c>
      <c r="K646" s="63"/>
      <c r="L646" s="55"/>
      <c r="M646" s="63">
        <v>0</v>
      </c>
      <c r="N646" s="63">
        <v>0</v>
      </c>
      <c r="O646" s="63">
        <v>0</v>
      </c>
      <c r="P646" s="63">
        <v>0</v>
      </c>
      <c r="Q646" s="63">
        <v>9481690.5221497193</v>
      </c>
      <c r="R646" s="63"/>
      <c r="S646" s="63"/>
      <c r="T646" s="64">
        <v>207345.36805028</v>
      </c>
      <c r="U646" s="205"/>
    </row>
    <row r="647" spans="1:70" x14ac:dyDescent="0.25">
      <c r="A647" s="193">
        <f t="shared" si="63"/>
        <v>625</v>
      </c>
      <c r="B647" s="107">
        <f t="shared" si="61"/>
        <v>165</v>
      </c>
      <c r="C647" s="53" t="s">
        <v>108</v>
      </c>
      <c r="D647" s="107" t="s">
        <v>619</v>
      </c>
      <c r="E647" s="62">
        <f t="shared" si="62"/>
        <v>25809972.036199979</v>
      </c>
      <c r="F647" s="55"/>
      <c r="G647" s="63"/>
      <c r="H647" s="63"/>
      <c r="I647" s="63"/>
      <c r="J647" s="63"/>
      <c r="K647" s="63"/>
      <c r="L647" s="55"/>
      <c r="M647" s="63"/>
      <c r="N647" s="63"/>
      <c r="O647" s="63">
        <v>0</v>
      </c>
      <c r="P647" s="63">
        <v>25257638.634625301</v>
      </c>
      <c r="Q647" s="63"/>
      <c r="R647" s="63"/>
      <c r="S647" s="63"/>
      <c r="T647" s="64">
        <v>552333.40157468</v>
      </c>
      <c r="U647" s="205"/>
    </row>
    <row r="648" spans="1:70" x14ac:dyDescent="0.25">
      <c r="A648" s="193">
        <f t="shared" si="63"/>
        <v>626</v>
      </c>
      <c r="B648" s="107">
        <f t="shared" si="61"/>
        <v>166</v>
      </c>
      <c r="C648" s="53" t="s">
        <v>620</v>
      </c>
      <c r="D648" s="107" t="s">
        <v>621</v>
      </c>
      <c r="E648" s="62">
        <f t="shared" si="62"/>
        <v>10774080.00000003</v>
      </c>
      <c r="F648" s="55"/>
      <c r="G648" s="63"/>
      <c r="H648" s="63"/>
      <c r="I648" s="63"/>
      <c r="J648" s="63"/>
      <c r="K648" s="63"/>
      <c r="L648" s="55"/>
      <c r="M648" s="63">
        <v>10384981.714635899</v>
      </c>
      <c r="N648" s="63"/>
      <c r="O648" s="63"/>
      <c r="P648" s="63"/>
      <c r="Q648" s="63"/>
      <c r="R648" s="63">
        <v>137999.768408064</v>
      </c>
      <c r="S648" s="63">
        <v>24000</v>
      </c>
      <c r="T648" s="64">
        <v>227098.516956067</v>
      </c>
      <c r="U648" s="205"/>
    </row>
    <row r="649" spans="1:70" x14ac:dyDescent="0.25">
      <c r="A649" s="193">
        <f t="shared" si="63"/>
        <v>627</v>
      </c>
      <c r="B649" s="107">
        <f t="shared" si="61"/>
        <v>167</v>
      </c>
      <c r="C649" s="53" t="s">
        <v>108</v>
      </c>
      <c r="D649" s="107" t="s">
        <v>163</v>
      </c>
      <c r="E649" s="62">
        <f t="shared" si="62"/>
        <v>2884040.2290000003</v>
      </c>
      <c r="F649" s="55"/>
      <c r="G649" s="63"/>
      <c r="H649" s="63"/>
      <c r="I649" s="63">
        <v>2822321.7680994002</v>
      </c>
      <c r="J649" s="63"/>
      <c r="K649" s="63"/>
      <c r="L649" s="55"/>
      <c r="M649" s="63">
        <v>0</v>
      </c>
      <c r="N649" s="63">
        <v>0</v>
      </c>
      <c r="O649" s="63">
        <v>0</v>
      </c>
      <c r="P649" s="63">
        <v>0</v>
      </c>
      <c r="Q649" s="63">
        <v>0</v>
      </c>
      <c r="R649" s="63"/>
      <c r="S649" s="63"/>
      <c r="T649" s="64">
        <v>61718.460900600003</v>
      </c>
      <c r="U649" s="205"/>
    </row>
    <row r="650" spans="1:70" x14ac:dyDescent="0.25">
      <c r="A650" s="193">
        <f t="shared" si="63"/>
        <v>628</v>
      </c>
      <c r="B650" s="107">
        <f t="shared" si="61"/>
        <v>168</v>
      </c>
      <c r="C650" s="53" t="s">
        <v>108</v>
      </c>
      <c r="D650" s="107" t="s">
        <v>475</v>
      </c>
      <c r="E650" s="62">
        <f t="shared" si="62"/>
        <v>45988963.724293135</v>
      </c>
      <c r="F650" s="55">
        <v>9534404.9800000004</v>
      </c>
      <c r="G650" s="63">
        <v>5463949.4500000002</v>
      </c>
      <c r="H650" s="63"/>
      <c r="I650" s="63">
        <v>3729173.38</v>
      </c>
      <c r="J650" s="63">
        <v>2045369.04</v>
      </c>
      <c r="K650" s="63"/>
      <c r="L650" s="55">
        <v>358162.19323500001</v>
      </c>
      <c r="M650" s="63">
        <v>0</v>
      </c>
      <c r="N650" s="63">
        <v>7030569.5300000003</v>
      </c>
      <c r="O650" s="63">
        <v>0</v>
      </c>
      <c r="P650" s="63">
        <v>14156807.720000001</v>
      </c>
      <c r="Q650" s="63">
        <v>1589534.66</v>
      </c>
      <c r="R650" s="63">
        <v>495808.74</v>
      </c>
      <c r="S650" s="63">
        <v>63360.33</v>
      </c>
      <c r="T650" s="64">
        <v>1521823.70105814</v>
      </c>
      <c r="U650" s="205"/>
    </row>
    <row r="651" spans="1:70" x14ac:dyDescent="0.25">
      <c r="A651" s="193">
        <f t="shared" si="63"/>
        <v>629</v>
      </c>
      <c r="B651" s="107">
        <f t="shared" si="61"/>
        <v>169</v>
      </c>
      <c r="C651" s="53" t="s">
        <v>108</v>
      </c>
      <c r="D651" s="107" t="s">
        <v>361</v>
      </c>
      <c r="E651" s="62">
        <f t="shared" si="62"/>
        <v>13993264.983777002</v>
      </c>
      <c r="F651" s="55"/>
      <c r="G651" s="63">
        <v>1568852.88</v>
      </c>
      <c r="H651" s="63">
        <v>582033.92000000004</v>
      </c>
      <c r="I651" s="63">
        <v>1294043.959488</v>
      </c>
      <c r="J651" s="63"/>
      <c r="K651" s="63"/>
      <c r="L651" s="55"/>
      <c r="M651" s="63">
        <v>0</v>
      </c>
      <c r="N651" s="63"/>
      <c r="O651" s="63">
        <v>0</v>
      </c>
      <c r="P651" s="63">
        <v>5704312.0899999999</v>
      </c>
      <c r="Q651" s="63">
        <v>3959521.14271753</v>
      </c>
      <c r="R651" s="63">
        <v>281704.32000000001</v>
      </c>
      <c r="S651" s="63">
        <v>17142.86</v>
      </c>
      <c r="T651" s="64">
        <v>585653.81157147198</v>
      </c>
      <c r="U651" s="205"/>
    </row>
    <row r="652" spans="1:70" x14ac:dyDescent="0.25">
      <c r="A652" s="193">
        <f t="shared" si="63"/>
        <v>630</v>
      </c>
      <c r="B652" s="107">
        <f t="shared" si="61"/>
        <v>170</v>
      </c>
      <c r="C652" s="53" t="s">
        <v>108</v>
      </c>
      <c r="D652" s="107" t="s">
        <v>164</v>
      </c>
      <c r="E652" s="62">
        <f t="shared" si="62"/>
        <v>3743689.5325997504</v>
      </c>
      <c r="F652" s="55">
        <v>3439535.99</v>
      </c>
      <c r="G652" s="63"/>
      <c r="H652" s="63"/>
      <c r="I652" s="63"/>
      <c r="J652" s="63"/>
      <c r="K652" s="63"/>
      <c r="L652" s="55"/>
      <c r="M652" s="63">
        <v>0</v>
      </c>
      <c r="N652" s="63"/>
      <c r="O652" s="63">
        <v>0</v>
      </c>
      <c r="P652" s="63">
        <v>0</v>
      </c>
      <c r="Q652" s="63">
        <v>0</v>
      </c>
      <c r="R652" s="63">
        <v>46595.58</v>
      </c>
      <c r="S652" s="63">
        <v>6139.6</v>
      </c>
      <c r="T652" s="64">
        <v>251418.36259974999</v>
      </c>
      <c r="U652" s="205"/>
    </row>
    <row r="653" spans="1:70" x14ac:dyDescent="0.25">
      <c r="A653" s="193">
        <f t="shared" si="63"/>
        <v>631</v>
      </c>
      <c r="B653" s="107">
        <f t="shared" si="61"/>
        <v>171</v>
      </c>
      <c r="C653" s="53" t="s">
        <v>108</v>
      </c>
      <c r="D653" s="107" t="s">
        <v>359</v>
      </c>
      <c r="E653" s="62">
        <f t="shared" si="62"/>
        <v>24834064.85214917</v>
      </c>
      <c r="F653" s="55">
        <v>5423838.1900000004</v>
      </c>
      <c r="G653" s="63"/>
      <c r="H653" s="63"/>
      <c r="I653" s="63"/>
      <c r="J653" s="63"/>
      <c r="K653" s="63"/>
      <c r="L653" s="55">
        <v>197263.76375643001</v>
      </c>
      <c r="M653" s="63"/>
      <c r="N653" s="63"/>
      <c r="O653" s="63"/>
      <c r="P653" s="63">
        <v>13577425.68</v>
      </c>
      <c r="Q653" s="63">
        <v>4796312.2275411803</v>
      </c>
      <c r="R653" s="63"/>
      <c r="S653" s="63"/>
      <c r="T653" s="64">
        <v>839224.990851562</v>
      </c>
      <c r="U653" s="205"/>
    </row>
    <row r="654" spans="1:70" x14ac:dyDescent="0.25">
      <c r="A654" s="193">
        <f t="shared" si="63"/>
        <v>632</v>
      </c>
      <c r="B654" s="107">
        <f t="shared" si="61"/>
        <v>172</v>
      </c>
      <c r="C654" s="53" t="s">
        <v>108</v>
      </c>
      <c r="D654" s="107" t="s">
        <v>622</v>
      </c>
      <c r="E654" s="62">
        <f t="shared" si="62"/>
        <v>5368365.84269334</v>
      </c>
      <c r="F654" s="55">
        <v>5002408.7896594899</v>
      </c>
      <c r="G654" s="63">
        <v>0</v>
      </c>
      <c r="H654" s="63">
        <v>0</v>
      </c>
      <c r="I654" s="63">
        <v>0</v>
      </c>
      <c r="J654" s="63"/>
      <c r="K654" s="63"/>
      <c r="L654" s="55">
        <v>181362.34506279099</v>
      </c>
      <c r="M654" s="63">
        <v>0</v>
      </c>
      <c r="N654" s="63">
        <v>0</v>
      </c>
      <c r="O654" s="63">
        <v>0</v>
      </c>
      <c r="P654" s="63">
        <v>0</v>
      </c>
      <c r="Q654" s="63">
        <v>0</v>
      </c>
      <c r="R654" s="63">
        <v>48741.19</v>
      </c>
      <c r="S654" s="63">
        <v>24000</v>
      </c>
      <c r="T654" s="64">
        <v>111853.517971058</v>
      </c>
      <c r="U654" s="205"/>
    </row>
    <row r="655" spans="1:70" x14ac:dyDescent="0.25">
      <c r="A655" s="193">
        <f t="shared" si="63"/>
        <v>633</v>
      </c>
      <c r="B655" s="107">
        <f t="shared" si="61"/>
        <v>173</v>
      </c>
      <c r="C655" s="53" t="s">
        <v>108</v>
      </c>
      <c r="D655" s="107" t="s">
        <v>623</v>
      </c>
      <c r="E655" s="62">
        <f t="shared" si="62"/>
        <v>6946790.991943554</v>
      </c>
      <c r="F655" s="55">
        <v>6493512.7739412496</v>
      </c>
      <c r="G655" s="63">
        <v>0</v>
      </c>
      <c r="H655" s="63">
        <v>0</v>
      </c>
      <c r="I655" s="63">
        <v>0</v>
      </c>
      <c r="J655" s="63"/>
      <c r="K655" s="63"/>
      <c r="L655" s="55">
        <v>234524.947834405</v>
      </c>
      <c r="M655" s="63">
        <v>0</v>
      </c>
      <c r="N655" s="63">
        <v>0</v>
      </c>
      <c r="O655" s="63">
        <v>0</v>
      </c>
      <c r="P655" s="63">
        <v>0</v>
      </c>
      <c r="Q655" s="63">
        <v>0</v>
      </c>
      <c r="R655" s="63">
        <v>49214.67</v>
      </c>
      <c r="S655" s="63">
        <v>24000</v>
      </c>
      <c r="T655" s="64">
        <v>145538.60016789901</v>
      </c>
      <c r="U655" s="205"/>
    </row>
    <row r="656" spans="1:70" x14ac:dyDescent="0.25">
      <c r="A656" s="193">
        <f t="shared" si="63"/>
        <v>634</v>
      </c>
      <c r="B656" s="107">
        <f t="shared" si="61"/>
        <v>174</v>
      </c>
      <c r="C656" s="53" t="s">
        <v>108</v>
      </c>
      <c r="D656" s="107" t="s">
        <v>165</v>
      </c>
      <c r="E656" s="62">
        <f t="shared" si="62"/>
        <v>23412324.335968334</v>
      </c>
      <c r="F656" s="55"/>
      <c r="G656" s="63">
        <v>2813313.3875597501</v>
      </c>
      <c r="H656" s="63"/>
      <c r="I656" s="63">
        <v>2407207.9900000002</v>
      </c>
      <c r="J656" s="63"/>
      <c r="K656" s="63"/>
      <c r="L656" s="55"/>
      <c r="M656" s="63">
        <v>0</v>
      </c>
      <c r="N656" s="63"/>
      <c r="O656" s="63">
        <v>0</v>
      </c>
      <c r="P656" s="63">
        <v>16812725.450546</v>
      </c>
      <c r="Q656" s="63"/>
      <c r="R656" s="63">
        <v>335497.53000000003</v>
      </c>
      <c r="S656" s="63">
        <v>21600</v>
      </c>
      <c r="T656" s="64">
        <v>1021979.97786258</v>
      </c>
      <c r="U656" s="205"/>
    </row>
    <row r="657" spans="1:70" x14ac:dyDescent="0.25">
      <c r="A657" s="193">
        <f t="shared" si="63"/>
        <v>635</v>
      </c>
      <c r="B657" s="107">
        <f t="shared" si="61"/>
        <v>175</v>
      </c>
      <c r="C657" s="53" t="s">
        <v>108</v>
      </c>
      <c r="D657" s="107" t="s">
        <v>166</v>
      </c>
      <c r="E657" s="62">
        <f t="shared" si="62"/>
        <v>6359442.8376140399</v>
      </c>
      <c r="F657" s="55">
        <v>5740166.1959951399</v>
      </c>
      <c r="G657" s="63"/>
      <c r="H657" s="63"/>
      <c r="I657" s="63"/>
      <c r="J657" s="63"/>
      <c r="K657" s="63"/>
      <c r="L657" s="55">
        <v>285227.34661260003</v>
      </c>
      <c r="M657" s="63"/>
      <c r="N657" s="63"/>
      <c r="O657" s="63"/>
      <c r="P657" s="63"/>
      <c r="Q657" s="63"/>
      <c r="R657" s="63"/>
      <c r="S657" s="63"/>
      <c r="T657" s="64">
        <v>334049.29500629997</v>
      </c>
      <c r="U657" s="205"/>
    </row>
    <row r="658" spans="1:70" x14ac:dyDescent="0.25">
      <c r="A658" s="193">
        <f t="shared" si="63"/>
        <v>636</v>
      </c>
      <c r="B658" s="107">
        <f t="shared" si="61"/>
        <v>176</v>
      </c>
      <c r="C658" s="53" t="s">
        <v>108</v>
      </c>
      <c r="D658" s="107" t="s">
        <v>624</v>
      </c>
      <c r="E658" s="62">
        <f t="shared" si="62"/>
        <v>1535156.8941092999</v>
      </c>
      <c r="F658" s="55">
        <v>0</v>
      </c>
      <c r="G658" s="63">
        <v>0</v>
      </c>
      <c r="H658" s="63">
        <v>0</v>
      </c>
      <c r="I658" s="63">
        <v>0</v>
      </c>
      <c r="J658" s="63">
        <v>1356649.13</v>
      </c>
      <c r="K658" s="63"/>
      <c r="L658" s="55"/>
      <c r="M658" s="63">
        <v>0</v>
      </c>
      <c r="N658" s="63">
        <v>0</v>
      </c>
      <c r="O658" s="63">
        <v>0</v>
      </c>
      <c r="P658" s="63">
        <v>0</v>
      </c>
      <c r="Q658" s="63"/>
      <c r="R658" s="63"/>
      <c r="S658" s="63"/>
      <c r="T658" s="64">
        <v>178507.76410930001</v>
      </c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</row>
    <row r="659" spans="1:70" x14ac:dyDescent="0.25">
      <c r="A659" s="193">
        <f t="shared" si="63"/>
        <v>637</v>
      </c>
      <c r="B659" s="107">
        <f t="shared" si="61"/>
        <v>177</v>
      </c>
      <c r="C659" s="53" t="s">
        <v>108</v>
      </c>
      <c r="D659" s="107" t="s">
        <v>364</v>
      </c>
      <c r="E659" s="62">
        <f t="shared" si="62"/>
        <v>8007344.662176</v>
      </c>
      <c r="F659" s="55">
        <v>0</v>
      </c>
      <c r="G659" s="63">
        <v>0</v>
      </c>
      <c r="H659" s="63">
        <v>0</v>
      </c>
      <c r="I659" s="63">
        <v>0</v>
      </c>
      <c r="J659" s="63"/>
      <c r="K659" s="63"/>
      <c r="L659" s="55"/>
      <c r="M659" s="63">
        <v>0</v>
      </c>
      <c r="N659" s="63">
        <v>0</v>
      </c>
      <c r="O659" s="63">
        <v>0</v>
      </c>
      <c r="P659" s="63">
        <v>0</v>
      </c>
      <c r="Q659" s="63">
        <v>7829891.4404087998</v>
      </c>
      <c r="R659" s="63"/>
      <c r="S659" s="63"/>
      <c r="T659" s="64">
        <v>177453.22176720001</v>
      </c>
      <c r="U659" s="205"/>
    </row>
    <row r="660" spans="1:70" x14ac:dyDescent="0.25">
      <c r="A660" s="193">
        <f t="shared" si="63"/>
        <v>638</v>
      </c>
      <c r="B660" s="107">
        <f t="shared" si="61"/>
        <v>178</v>
      </c>
      <c r="C660" s="53" t="s">
        <v>108</v>
      </c>
      <c r="D660" s="107" t="s">
        <v>626</v>
      </c>
      <c r="E660" s="62">
        <f t="shared" si="62"/>
        <v>23161870.37500003</v>
      </c>
      <c r="F660" s="55">
        <v>0</v>
      </c>
      <c r="G660" s="63">
        <v>0</v>
      </c>
      <c r="H660" s="63">
        <v>0</v>
      </c>
      <c r="I660" s="63">
        <v>0</v>
      </c>
      <c r="J660" s="63">
        <v>0</v>
      </c>
      <c r="K660" s="63"/>
      <c r="L660" s="55"/>
      <c r="M660" s="63">
        <v>0</v>
      </c>
      <c r="N660" s="63">
        <v>0</v>
      </c>
      <c r="O660" s="63">
        <v>0</v>
      </c>
      <c r="P660" s="63">
        <v>22469996.755391698</v>
      </c>
      <c r="Q660" s="63">
        <v>0</v>
      </c>
      <c r="R660" s="63">
        <v>176500.30000340601</v>
      </c>
      <c r="S660" s="63">
        <v>24000</v>
      </c>
      <c r="T660" s="64">
        <v>491373.31960492698</v>
      </c>
      <c r="U660" s="205"/>
    </row>
    <row r="661" spans="1:70" x14ac:dyDescent="0.25">
      <c r="A661" s="193">
        <f t="shared" si="63"/>
        <v>639</v>
      </c>
      <c r="B661" s="107">
        <f t="shared" si="61"/>
        <v>179</v>
      </c>
      <c r="C661" s="53" t="s">
        <v>108</v>
      </c>
      <c r="D661" s="107" t="s">
        <v>369</v>
      </c>
      <c r="E661" s="62">
        <f t="shared" si="62"/>
        <v>32751772.311294075</v>
      </c>
      <c r="F661" s="55">
        <v>16034044.1521801</v>
      </c>
      <c r="G661" s="63">
        <v>5691851.8389192801</v>
      </c>
      <c r="H661" s="63"/>
      <c r="I661" s="63">
        <v>6518434.9299999997</v>
      </c>
      <c r="J661" s="63">
        <v>2792950.7234944901</v>
      </c>
      <c r="K661" s="63"/>
      <c r="L661" s="55">
        <v>582245.94929312496</v>
      </c>
      <c r="M661" s="63"/>
      <c r="N661" s="63"/>
      <c r="O661" s="63"/>
      <c r="P661" s="63"/>
      <c r="Q661" s="63"/>
      <c r="R661" s="63"/>
      <c r="S661" s="63"/>
      <c r="T661" s="64">
        <v>1132244.7174070801</v>
      </c>
      <c r="U661" s="205"/>
    </row>
    <row r="662" spans="1:70" x14ac:dyDescent="0.25">
      <c r="A662" s="193">
        <f t="shared" si="63"/>
        <v>640</v>
      </c>
      <c r="B662" s="107">
        <f t="shared" si="61"/>
        <v>180</v>
      </c>
      <c r="C662" s="53" t="s">
        <v>108</v>
      </c>
      <c r="D662" s="107" t="s">
        <v>176</v>
      </c>
      <c r="E662" s="62">
        <f t="shared" si="62"/>
        <v>13927210.202334454</v>
      </c>
      <c r="F662" s="55">
        <v>6939356.6437431397</v>
      </c>
      <c r="G662" s="63">
        <v>0</v>
      </c>
      <c r="H662" s="63">
        <v>0</v>
      </c>
      <c r="I662" s="63">
        <v>0</v>
      </c>
      <c r="J662" s="63">
        <v>818458.35</v>
      </c>
      <c r="K662" s="63"/>
      <c r="L662" s="55">
        <v>266268.26596902299</v>
      </c>
      <c r="M662" s="63">
        <v>0</v>
      </c>
      <c r="N662" s="63"/>
      <c r="O662" s="63">
        <v>0</v>
      </c>
      <c r="P662" s="63">
        <v>0</v>
      </c>
      <c r="Q662" s="63">
        <v>5742081.1200000001</v>
      </c>
      <c r="R662" s="63"/>
      <c r="S662" s="63"/>
      <c r="T662" s="64">
        <v>161045.82262229201</v>
      </c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</row>
    <row r="663" spans="1:70" x14ac:dyDescent="0.25">
      <c r="A663" s="193">
        <f t="shared" si="63"/>
        <v>641</v>
      </c>
      <c r="B663" s="107">
        <f t="shared" si="61"/>
        <v>181</v>
      </c>
      <c r="C663" s="53" t="s">
        <v>108</v>
      </c>
      <c r="D663" s="107" t="s">
        <v>177</v>
      </c>
      <c r="E663" s="62">
        <f t="shared" si="62"/>
        <v>1600397.1052399999</v>
      </c>
      <c r="F663" s="55"/>
      <c r="G663" s="63">
        <v>0</v>
      </c>
      <c r="H663" s="63">
        <v>0</v>
      </c>
      <c r="I663" s="63">
        <v>0</v>
      </c>
      <c r="J663" s="63">
        <v>979002.74</v>
      </c>
      <c r="K663" s="63"/>
      <c r="L663" s="55"/>
      <c r="M663" s="63">
        <v>0</v>
      </c>
      <c r="N663" s="63">
        <v>0</v>
      </c>
      <c r="O663" s="63">
        <v>0</v>
      </c>
      <c r="P663" s="63">
        <v>0</v>
      </c>
      <c r="Q663" s="63">
        <v>0</v>
      </c>
      <c r="R663" s="63">
        <v>89216.27</v>
      </c>
      <c r="S663" s="63">
        <v>24000</v>
      </c>
      <c r="T663" s="64">
        <f>21299.77524+486878.32</f>
        <v>508178.09524</v>
      </c>
      <c r="U663" s="205"/>
    </row>
    <row r="664" spans="1:70" x14ac:dyDescent="0.25">
      <c r="A664" s="193">
        <f t="shared" si="63"/>
        <v>642</v>
      </c>
      <c r="B664" s="107">
        <f t="shared" si="61"/>
        <v>182</v>
      </c>
      <c r="C664" s="53" t="s">
        <v>108</v>
      </c>
      <c r="D664" s="107" t="s">
        <v>627</v>
      </c>
      <c r="E664" s="62">
        <f t="shared" si="62"/>
        <v>2355834.5976698296</v>
      </c>
      <c r="F664" s="55">
        <v>0</v>
      </c>
      <c r="G664" s="63">
        <v>2230881.5159207899</v>
      </c>
      <c r="H664" s="63">
        <v>0</v>
      </c>
      <c r="I664" s="63">
        <v>0</v>
      </c>
      <c r="J664" s="63"/>
      <c r="K664" s="63"/>
      <c r="L664" s="55"/>
      <c r="M664" s="63">
        <v>0</v>
      </c>
      <c r="N664" s="63">
        <v>0</v>
      </c>
      <c r="O664" s="63">
        <v>0</v>
      </c>
      <c r="P664" s="63">
        <v>0</v>
      </c>
      <c r="Q664" s="63">
        <v>0</v>
      </c>
      <c r="R664" s="63">
        <v>55780.86</v>
      </c>
      <c r="S664" s="63">
        <v>24000</v>
      </c>
      <c r="T664" s="64">
        <v>45172.22174904</v>
      </c>
      <c r="U664" s="205"/>
    </row>
    <row r="665" spans="1:70" x14ac:dyDescent="0.25">
      <c r="A665" s="193">
        <f t="shared" si="63"/>
        <v>643</v>
      </c>
      <c r="B665" s="107">
        <f t="shared" si="61"/>
        <v>183</v>
      </c>
      <c r="C665" s="53" t="s">
        <v>108</v>
      </c>
      <c r="D665" s="107" t="s">
        <v>628</v>
      </c>
      <c r="E665" s="62">
        <f t="shared" si="62"/>
        <v>16015618.41</v>
      </c>
      <c r="F665" s="55">
        <v>0</v>
      </c>
      <c r="G665" s="63">
        <v>0</v>
      </c>
      <c r="H665" s="63">
        <v>0</v>
      </c>
      <c r="I665" s="63">
        <v>0</v>
      </c>
      <c r="J665" s="63">
        <v>0</v>
      </c>
      <c r="K665" s="63"/>
      <c r="L665" s="55"/>
      <c r="M665" s="63">
        <v>0</v>
      </c>
      <c r="N665" s="63">
        <v>0</v>
      </c>
      <c r="O665" s="63">
        <v>0</v>
      </c>
      <c r="P665" s="63">
        <v>0</v>
      </c>
      <c r="Q665" s="63">
        <v>15672884.176026</v>
      </c>
      <c r="R665" s="63"/>
      <c r="S665" s="63"/>
      <c r="T665" s="64">
        <v>342734.23397399997</v>
      </c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</row>
    <row r="666" spans="1:70" x14ac:dyDescent="0.25">
      <c r="A666" s="193">
        <f t="shared" si="63"/>
        <v>644</v>
      </c>
      <c r="B666" s="107">
        <f t="shared" si="61"/>
        <v>184</v>
      </c>
      <c r="C666" s="53" t="s">
        <v>108</v>
      </c>
      <c r="D666" s="107" t="s">
        <v>373</v>
      </c>
      <c r="E666" s="62">
        <f t="shared" si="62"/>
        <v>2899508.1248302003</v>
      </c>
      <c r="F666" s="55">
        <v>0</v>
      </c>
      <c r="G666" s="63">
        <v>0</v>
      </c>
      <c r="H666" s="63">
        <v>2606967.9700000002</v>
      </c>
      <c r="I666" s="63">
        <v>0</v>
      </c>
      <c r="J666" s="63">
        <v>0</v>
      </c>
      <c r="K666" s="63"/>
      <c r="L666" s="55"/>
      <c r="M666" s="63">
        <v>0</v>
      </c>
      <c r="N666" s="63"/>
      <c r="O666" s="63">
        <v>0</v>
      </c>
      <c r="P666" s="63"/>
      <c r="Q666" s="63">
        <v>0</v>
      </c>
      <c r="R666" s="63"/>
      <c r="S666" s="63"/>
      <c r="T666" s="64">
        <v>292540.15483020002</v>
      </c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</row>
    <row r="667" spans="1:70" x14ac:dyDescent="0.25">
      <c r="A667" s="193">
        <f t="shared" si="63"/>
        <v>645</v>
      </c>
      <c r="B667" s="107">
        <f t="shared" ref="B667:B730" si="64">+B666+1</f>
        <v>185</v>
      </c>
      <c r="C667" s="53" t="s">
        <v>108</v>
      </c>
      <c r="D667" s="107" t="s">
        <v>629</v>
      </c>
      <c r="E667" s="62">
        <f t="shared" si="62"/>
        <v>2143633.3567910334</v>
      </c>
      <c r="F667" s="55"/>
      <c r="G667" s="63"/>
      <c r="H667" s="63"/>
      <c r="I667" s="63"/>
      <c r="J667" s="63">
        <v>1845260.4</v>
      </c>
      <c r="K667" s="63"/>
      <c r="L667" s="55"/>
      <c r="M667" s="63"/>
      <c r="N667" s="63"/>
      <c r="O667" s="63"/>
      <c r="P667" s="63"/>
      <c r="Q667" s="63"/>
      <c r="R667" s="63">
        <v>237812.69</v>
      </c>
      <c r="S667" s="63">
        <v>24000</v>
      </c>
      <c r="T667" s="64">
        <v>36560.266791033602</v>
      </c>
      <c r="U667" s="205"/>
    </row>
    <row r="668" spans="1:70" x14ac:dyDescent="0.25">
      <c r="A668" s="193">
        <f t="shared" si="63"/>
        <v>646</v>
      </c>
      <c r="B668" s="107">
        <f t="shared" si="64"/>
        <v>186</v>
      </c>
      <c r="C668" s="53" t="s">
        <v>620</v>
      </c>
      <c r="D668" s="107" t="s">
        <v>630</v>
      </c>
      <c r="E668" s="62">
        <f t="shared" si="62"/>
        <v>7182719.9999999972</v>
      </c>
      <c r="F668" s="55"/>
      <c r="G668" s="63"/>
      <c r="H668" s="63"/>
      <c r="I668" s="63"/>
      <c r="J668" s="63"/>
      <c r="K668" s="63"/>
      <c r="L668" s="55"/>
      <c r="M668" s="63">
        <v>6868490.3575085597</v>
      </c>
      <c r="N668" s="63"/>
      <c r="O668" s="63"/>
      <c r="P668" s="63"/>
      <c r="Q668" s="63"/>
      <c r="R668" s="63">
        <v>140029.66941696001</v>
      </c>
      <c r="S668" s="63">
        <v>24000</v>
      </c>
      <c r="T668" s="64">
        <v>150199.97307447699</v>
      </c>
      <c r="U668" s="205"/>
    </row>
    <row r="669" spans="1:70" x14ac:dyDescent="0.25">
      <c r="A669" s="193">
        <f t="shared" si="63"/>
        <v>647</v>
      </c>
      <c r="B669" s="107">
        <f t="shared" si="64"/>
        <v>187</v>
      </c>
      <c r="C669" s="53" t="s">
        <v>108</v>
      </c>
      <c r="D669" s="107" t="s">
        <v>375</v>
      </c>
      <c r="E669" s="62">
        <f t="shared" si="62"/>
        <v>1894725.3612069921</v>
      </c>
      <c r="F669" s="55"/>
      <c r="G669" s="63"/>
      <c r="H669" s="63"/>
      <c r="I669" s="63"/>
      <c r="J669" s="63">
        <v>1161613.02606813</v>
      </c>
      <c r="K669" s="63"/>
      <c r="L669" s="55"/>
      <c r="M669" s="63">
        <v>0</v>
      </c>
      <c r="N669" s="63">
        <v>0</v>
      </c>
      <c r="O669" s="63">
        <v>0</v>
      </c>
      <c r="P669" s="63"/>
      <c r="Q669" s="63"/>
      <c r="R669" s="63"/>
      <c r="S669" s="63"/>
      <c r="T669" s="64">
        <v>733112.33513886202</v>
      </c>
      <c r="U669" s="205"/>
    </row>
    <row r="670" spans="1:70" x14ac:dyDescent="0.25">
      <c r="A670" s="193">
        <f t="shared" si="63"/>
        <v>648</v>
      </c>
      <c r="B670" s="107">
        <f t="shared" si="64"/>
        <v>188</v>
      </c>
      <c r="C670" s="53" t="s">
        <v>108</v>
      </c>
      <c r="D670" s="107" t="s">
        <v>376</v>
      </c>
      <c r="E670" s="62">
        <f t="shared" si="62"/>
        <v>64353399.863250993</v>
      </c>
      <c r="F670" s="55">
        <v>14217900.130000001</v>
      </c>
      <c r="G670" s="63">
        <v>4192746.7065505302</v>
      </c>
      <c r="H670" s="63">
        <v>4497893.3018872403</v>
      </c>
      <c r="I670" s="63">
        <v>4285819.8536529597</v>
      </c>
      <c r="J670" s="63">
        <v>2055716.94206696</v>
      </c>
      <c r="K670" s="63"/>
      <c r="L670" s="55">
        <v>504522.83066567697</v>
      </c>
      <c r="M670" s="63"/>
      <c r="N670" s="63"/>
      <c r="O670" s="63"/>
      <c r="P670" s="63">
        <v>32220196.379999999</v>
      </c>
      <c r="Q670" s="63"/>
      <c r="R670" s="63">
        <v>1273422.94</v>
      </c>
      <c r="S670" s="63">
        <v>18000</v>
      </c>
      <c r="T670" s="64">
        <v>1087180.77842762</v>
      </c>
      <c r="U670" s="205"/>
    </row>
    <row r="671" spans="1:70" x14ac:dyDescent="0.25">
      <c r="A671" s="193">
        <f t="shared" si="63"/>
        <v>649</v>
      </c>
      <c r="B671" s="107">
        <f t="shared" si="64"/>
        <v>189</v>
      </c>
      <c r="C671" s="53" t="s">
        <v>108</v>
      </c>
      <c r="D671" s="107" t="s">
        <v>178</v>
      </c>
      <c r="E671" s="62">
        <f t="shared" si="62"/>
        <v>24577617.243778024</v>
      </c>
      <c r="F671" s="55"/>
      <c r="G671" s="63">
        <v>1245773.46</v>
      </c>
      <c r="H671" s="63">
        <v>1202952.82</v>
      </c>
      <c r="I671" s="63"/>
      <c r="J671" s="63"/>
      <c r="K671" s="63"/>
      <c r="L671" s="55"/>
      <c r="M671" s="63"/>
      <c r="N671" s="63"/>
      <c r="O671" s="63">
        <v>0</v>
      </c>
      <c r="P671" s="63">
        <v>20761319.699999999</v>
      </c>
      <c r="Q671" s="63"/>
      <c r="R671" s="63">
        <v>400424.46</v>
      </c>
      <c r="S671" s="63">
        <v>20118.5</v>
      </c>
      <c r="T671" s="64">
        <v>947028.30377802101</v>
      </c>
      <c r="U671" s="205"/>
    </row>
    <row r="672" spans="1:70" x14ac:dyDescent="0.25">
      <c r="A672" s="193">
        <f t="shared" si="63"/>
        <v>650</v>
      </c>
      <c r="B672" s="107">
        <f t="shared" si="64"/>
        <v>190</v>
      </c>
      <c r="C672" s="53" t="s">
        <v>108</v>
      </c>
      <c r="D672" s="107" t="s">
        <v>631</v>
      </c>
      <c r="E672" s="62">
        <f t="shared" si="62"/>
        <v>2036091.2296479973</v>
      </c>
      <c r="F672" s="55"/>
      <c r="G672" s="63"/>
      <c r="H672" s="63"/>
      <c r="I672" s="63"/>
      <c r="J672" s="63">
        <v>1732566.2449115301</v>
      </c>
      <c r="K672" s="63"/>
      <c r="L672" s="55"/>
      <c r="M672" s="63"/>
      <c r="N672" s="63"/>
      <c r="O672" s="63"/>
      <c r="P672" s="63"/>
      <c r="Q672" s="63"/>
      <c r="R672" s="63">
        <v>241637.27</v>
      </c>
      <c r="S672" s="63">
        <v>24000</v>
      </c>
      <c r="T672" s="64">
        <v>37887.714736467198</v>
      </c>
      <c r="U672" s="205"/>
    </row>
    <row r="673" spans="1:70" x14ac:dyDescent="0.25">
      <c r="A673" s="193">
        <f t="shared" si="63"/>
        <v>651</v>
      </c>
      <c r="B673" s="107">
        <f t="shared" si="64"/>
        <v>191</v>
      </c>
      <c r="C673" s="53" t="s">
        <v>108</v>
      </c>
      <c r="D673" s="107" t="s">
        <v>632</v>
      </c>
      <c r="E673" s="62">
        <f t="shared" si="62"/>
        <v>44600798.21462249</v>
      </c>
      <c r="F673" s="55">
        <v>7393681.9400000004</v>
      </c>
      <c r="G673" s="63">
        <v>2143637.4761874899</v>
      </c>
      <c r="H673" s="63">
        <v>2373820.8287423998</v>
      </c>
      <c r="I673" s="63">
        <v>2716386.3</v>
      </c>
      <c r="J673" s="63">
        <v>1650055.34</v>
      </c>
      <c r="K673" s="63"/>
      <c r="L673" s="55">
        <v>230299.60996685299</v>
      </c>
      <c r="M673" s="63"/>
      <c r="N673" s="63">
        <v>16590386.9870087</v>
      </c>
      <c r="O673" s="63"/>
      <c r="P673" s="63"/>
      <c r="Q673" s="63">
        <v>9290993.5275144298</v>
      </c>
      <c r="R673" s="63">
        <v>1510163.25</v>
      </c>
      <c r="S673" s="63">
        <v>12000</v>
      </c>
      <c r="T673" s="64">
        <v>689372.95520262001</v>
      </c>
      <c r="U673" s="205"/>
    </row>
    <row r="674" spans="1:70" x14ac:dyDescent="0.25">
      <c r="A674" s="193">
        <f t="shared" si="63"/>
        <v>652</v>
      </c>
      <c r="B674" s="107">
        <f t="shared" si="64"/>
        <v>192</v>
      </c>
      <c r="C674" s="53" t="s">
        <v>108</v>
      </c>
      <c r="D674" s="107" t="s">
        <v>378</v>
      </c>
      <c r="E674" s="62">
        <f t="shared" ref="E674:E737" si="65">SUBTOTAL(9, F674:T674)</f>
        <v>30246345.753193367</v>
      </c>
      <c r="F674" s="55">
        <v>10498865.200444</v>
      </c>
      <c r="G674" s="63">
        <v>3966708.6084559099</v>
      </c>
      <c r="H674" s="63">
        <v>0</v>
      </c>
      <c r="I674" s="63">
        <v>3542622.2502106801</v>
      </c>
      <c r="J674" s="63">
        <v>1398827.3755945901</v>
      </c>
      <c r="K674" s="63"/>
      <c r="L674" s="55">
        <v>376376.559302421</v>
      </c>
      <c r="M674" s="63">
        <v>0</v>
      </c>
      <c r="N674" s="63"/>
      <c r="O674" s="63">
        <v>0</v>
      </c>
      <c r="P674" s="63"/>
      <c r="Q674" s="63">
        <v>8791014.8399999999</v>
      </c>
      <c r="R674" s="63"/>
      <c r="S674" s="63"/>
      <c r="T674" s="64">
        <v>1671930.91918577</v>
      </c>
      <c r="U674" s="205"/>
    </row>
    <row r="675" spans="1:70" x14ac:dyDescent="0.25">
      <c r="A675" s="193">
        <f t="shared" ref="A675:A738" si="66">+A674+1</f>
        <v>653</v>
      </c>
      <c r="B675" s="107">
        <f t="shared" si="64"/>
        <v>193</v>
      </c>
      <c r="C675" s="53" t="s">
        <v>108</v>
      </c>
      <c r="D675" s="107" t="s">
        <v>634</v>
      </c>
      <c r="E675" s="62">
        <f t="shared" si="65"/>
        <v>2007706.058750835</v>
      </c>
      <c r="F675" s="55"/>
      <c r="G675" s="63"/>
      <c r="H675" s="63"/>
      <c r="I675" s="63"/>
      <c r="J675" s="63"/>
      <c r="K675" s="63"/>
      <c r="L675" s="55"/>
      <c r="M675" s="63"/>
      <c r="N675" s="63"/>
      <c r="O675" s="63"/>
      <c r="P675" s="63"/>
      <c r="Q675" s="63">
        <v>1794168.33</v>
      </c>
      <c r="R675" s="63">
        <v>36460.9</v>
      </c>
      <c r="S675" s="63">
        <v>7292.18</v>
      </c>
      <c r="T675" s="64">
        <v>169784.64875083501</v>
      </c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</row>
    <row r="676" spans="1:70" x14ac:dyDescent="0.25">
      <c r="A676" s="193">
        <f t="shared" si="66"/>
        <v>654</v>
      </c>
      <c r="B676" s="107">
        <f t="shared" si="64"/>
        <v>194</v>
      </c>
      <c r="C676" s="53" t="s">
        <v>108</v>
      </c>
      <c r="D676" s="107" t="s">
        <v>379</v>
      </c>
      <c r="E676" s="62">
        <f t="shared" si="65"/>
        <v>709514.59502799995</v>
      </c>
      <c r="F676" s="55"/>
      <c r="G676" s="63"/>
      <c r="H676" s="63">
        <v>705392.72</v>
      </c>
      <c r="I676" s="63"/>
      <c r="J676" s="63"/>
      <c r="K676" s="63"/>
      <c r="L676" s="55"/>
      <c r="M676" s="63"/>
      <c r="N676" s="63"/>
      <c r="O676" s="63"/>
      <c r="P676" s="63"/>
      <c r="Q676" s="63">
        <v>0</v>
      </c>
      <c r="R676" s="63"/>
      <c r="S676" s="63"/>
      <c r="T676" s="64">
        <v>4121.8750280000004</v>
      </c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</row>
    <row r="677" spans="1:70" x14ac:dyDescent="0.25">
      <c r="A677" s="193">
        <f t="shared" si="66"/>
        <v>655</v>
      </c>
      <c r="B677" s="107">
        <f t="shared" si="64"/>
        <v>195</v>
      </c>
      <c r="C677" s="53" t="s">
        <v>108</v>
      </c>
      <c r="D677" s="107" t="s">
        <v>636</v>
      </c>
      <c r="E677" s="62">
        <f t="shared" si="65"/>
        <v>1024198.037306</v>
      </c>
      <c r="F677" s="55"/>
      <c r="G677" s="63"/>
      <c r="H677" s="63"/>
      <c r="I677" s="63"/>
      <c r="J677" s="63">
        <v>1013323.25</v>
      </c>
      <c r="K677" s="63"/>
      <c r="L677" s="55"/>
      <c r="M677" s="63"/>
      <c r="N677" s="63"/>
      <c r="O677" s="63"/>
      <c r="P677" s="63"/>
      <c r="Q677" s="63"/>
      <c r="R677" s="63"/>
      <c r="S677" s="63"/>
      <c r="T677" s="64">
        <v>10874.787306</v>
      </c>
      <c r="U677" s="205"/>
    </row>
    <row r="678" spans="1:70" x14ac:dyDescent="0.25">
      <c r="A678" s="193">
        <f t="shared" si="66"/>
        <v>656</v>
      </c>
      <c r="B678" s="107">
        <f t="shared" si="64"/>
        <v>196</v>
      </c>
      <c r="C678" s="53" t="s">
        <v>108</v>
      </c>
      <c r="D678" s="107" t="s">
        <v>186</v>
      </c>
      <c r="E678" s="62">
        <f t="shared" si="65"/>
        <v>542862</v>
      </c>
      <c r="F678" s="55"/>
      <c r="G678" s="63"/>
      <c r="H678" s="63"/>
      <c r="I678" s="63"/>
      <c r="J678" s="63"/>
      <c r="K678" s="63"/>
      <c r="L678" s="55"/>
      <c r="M678" s="63"/>
      <c r="N678" s="63"/>
      <c r="O678" s="63"/>
      <c r="P678" s="63">
        <v>542862</v>
      </c>
      <c r="Q678" s="63"/>
      <c r="R678" s="63"/>
      <c r="S678" s="63"/>
      <c r="T678" s="64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</row>
    <row r="679" spans="1:70" s="136" customFormat="1" x14ac:dyDescent="0.25">
      <c r="A679" s="193">
        <f t="shared" si="66"/>
        <v>657</v>
      </c>
      <c r="B679" s="107">
        <f t="shared" si="64"/>
        <v>197</v>
      </c>
      <c r="C679" s="53" t="s">
        <v>108</v>
      </c>
      <c r="D679" s="107" t="s">
        <v>187</v>
      </c>
      <c r="E679" s="62">
        <f t="shared" si="65"/>
        <v>29465286.628852461</v>
      </c>
      <c r="F679" s="55">
        <v>8835258.7268668804</v>
      </c>
      <c r="G679" s="63">
        <v>6092485.2699999996</v>
      </c>
      <c r="H679" s="63">
        <v>5569271.4127483098</v>
      </c>
      <c r="I679" s="63">
        <v>4295867.3561626999</v>
      </c>
      <c r="J679" s="63">
        <v>2716727.83</v>
      </c>
      <c r="K679" s="63"/>
      <c r="L679" s="55">
        <v>418101.46163142798</v>
      </c>
      <c r="M679" s="63"/>
      <c r="N679" s="63"/>
      <c r="O679" s="63"/>
      <c r="P679" s="63"/>
      <c r="Q679" s="63"/>
      <c r="R679" s="63"/>
      <c r="S679" s="63"/>
      <c r="T679" s="64">
        <v>1537574.57144314</v>
      </c>
      <c r="U679" s="205"/>
    </row>
    <row r="680" spans="1:70" s="136" customFormat="1" x14ac:dyDescent="0.25">
      <c r="A680" s="193">
        <f t="shared" si="66"/>
        <v>658</v>
      </c>
      <c r="B680" s="107">
        <f t="shared" si="64"/>
        <v>198</v>
      </c>
      <c r="C680" s="53" t="s">
        <v>108</v>
      </c>
      <c r="D680" s="107" t="s">
        <v>777</v>
      </c>
      <c r="E680" s="62">
        <f t="shared" si="65"/>
        <v>59717672.79036203</v>
      </c>
      <c r="F680" s="55">
        <v>8624090.4981803093</v>
      </c>
      <c r="G680" s="63">
        <v>6006478.71</v>
      </c>
      <c r="H680" s="63">
        <v>5439076.9790404001</v>
      </c>
      <c r="I680" s="63">
        <v>4190749.92926224</v>
      </c>
      <c r="J680" s="63">
        <v>2625980.02</v>
      </c>
      <c r="K680" s="63"/>
      <c r="L680" s="55">
        <v>408501.99902710598</v>
      </c>
      <c r="M680" s="63"/>
      <c r="N680" s="63"/>
      <c r="O680" s="63"/>
      <c r="P680" s="63">
        <v>30921783.3644013</v>
      </c>
      <c r="Q680" s="63"/>
      <c r="R680" s="63"/>
      <c r="S680" s="63"/>
      <c r="T680" s="64">
        <v>1501011.2904506801</v>
      </c>
      <c r="U680" s="205"/>
    </row>
    <row r="681" spans="1:70" x14ac:dyDescent="0.25">
      <c r="A681" s="193">
        <f t="shared" si="66"/>
        <v>659</v>
      </c>
      <c r="B681" s="107">
        <f t="shared" si="64"/>
        <v>199</v>
      </c>
      <c r="C681" s="53" t="s">
        <v>108</v>
      </c>
      <c r="D681" s="107" t="s">
        <v>381</v>
      </c>
      <c r="E681" s="62">
        <f t="shared" si="65"/>
        <v>41795857.036518693</v>
      </c>
      <c r="F681" s="55"/>
      <c r="G681" s="63"/>
      <c r="H681" s="63">
        <v>0</v>
      </c>
      <c r="I681" s="63">
        <v>0</v>
      </c>
      <c r="J681" s="63">
        <v>2013086.9508788399</v>
      </c>
      <c r="K681" s="63"/>
      <c r="L681" s="55"/>
      <c r="M681" s="63">
        <v>0</v>
      </c>
      <c r="N681" s="63"/>
      <c r="O681" s="63">
        <v>0</v>
      </c>
      <c r="P681" s="63">
        <v>38256354</v>
      </c>
      <c r="Q681" s="63"/>
      <c r="R681" s="63"/>
      <c r="S681" s="63"/>
      <c r="T681" s="64">
        <v>1526416.08563985</v>
      </c>
      <c r="U681" s="205"/>
    </row>
    <row r="682" spans="1:70" s="136" customFormat="1" x14ac:dyDescent="0.25">
      <c r="A682" s="193">
        <f t="shared" si="66"/>
        <v>660</v>
      </c>
      <c r="B682" s="107">
        <f t="shared" si="64"/>
        <v>200</v>
      </c>
      <c r="C682" s="53" t="s">
        <v>108</v>
      </c>
      <c r="D682" s="107" t="s">
        <v>382</v>
      </c>
      <c r="E682" s="62">
        <f t="shared" si="65"/>
        <v>2053392.5490234017</v>
      </c>
      <c r="F682" s="55"/>
      <c r="G682" s="63"/>
      <c r="H682" s="63"/>
      <c r="I682" s="63"/>
      <c r="J682" s="63">
        <v>2009523.6</v>
      </c>
      <c r="K682" s="63"/>
      <c r="L682" s="55"/>
      <c r="M682" s="63"/>
      <c r="N682" s="63"/>
      <c r="O682" s="63"/>
      <c r="P682" s="63"/>
      <c r="Q682" s="63"/>
      <c r="R682" s="63"/>
      <c r="S682" s="63"/>
      <c r="T682" s="64">
        <f>43868.9490234015</f>
        <v>43868.949023401503</v>
      </c>
      <c r="U682" s="205"/>
    </row>
    <row r="683" spans="1:70" x14ac:dyDescent="0.25">
      <c r="A683" s="193">
        <f t="shared" si="66"/>
        <v>661</v>
      </c>
      <c r="B683" s="107">
        <f t="shared" si="64"/>
        <v>201</v>
      </c>
      <c r="C683" s="107" t="s">
        <v>620</v>
      </c>
      <c r="D683" s="53" t="s">
        <v>638</v>
      </c>
      <c r="E683" s="110">
        <f t="shared" si="65"/>
        <v>6507525.8595053349</v>
      </c>
      <c r="F683" s="55">
        <v>6068202.4410059499</v>
      </c>
      <c r="G683" s="63">
        <v>0</v>
      </c>
      <c r="H683" s="63">
        <v>0</v>
      </c>
      <c r="I683" s="63">
        <v>0</v>
      </c>
      <c r="J683" s="63">
        <v>0</v>
      </c>
      <c r="K683" s="63">
        <v>0</v>
      </c>
      <c r="L683" s="55">
        <v>314554.40909567999</v>
      </c>
      <c r="M683" s="63">
        <v>0</v>
      </c>
      <c r="N683" s="63">
        <v>0</v>
      </c>
      <c r="O683" s="63">
        <v>0</v>
      </c>
      <c r="P683" s="63">
        <v>0</v>
      </c>
      <c r="Q683" s="63">
        <v>0</v>
      </c>
      <c r="R683" s="63"/>
      <c r="S683" s="63"/>
      <c r="T683" s="64">
        <v>124769.009403705</v>
      </c>
      <c r="U683" s="205"/>
    </row>
    <row r="684" spans="1:70" x14ac:dyDescent="0.25">
      <c r="A684" s="193">
        <f t="shared" si="66"/>
        <v>662</v>
      </c>
      <c r="B684" s="107">
        <f t="shared" si="64"/>
        <v>202</v>
      </c>
      <c r="C684" s="53" t="s">
        <v>108</v>
      </c>
      <c r="D684" s="53" t="s">
        <v>383</v>
      </c>
      <c r="E684" s="110">
        <f t="shared" si="65"/>
        <v>13249142.166672193</v>
      </c>
      <c r="F684" s="55">
        <v>0</v>
      </c>
      <c r="G684" s="63">
        <v>1623012.95</v>
      </c>
      <c r="H684" s="63">
        <v>0</v>
      </c>
      <c r="I684" s="63">
        <v>731480.88</v>
      </c>
      <c r="J684" s="63">
        <v>1007894.07</v>
      </c>
      <c r="K684" s="63"/>
      <c r="L684" s="55"/>
      <c r="M684" s="63">
        <v>0</v>
      </c>
      <c r="N684" s="63">
        <v>0</v>
      </c>
      <c r="O684" s="63">
        <v>0</v>
      </c>
      <c r="P684" s="63">
        <v>8926158.5600000005</v>
      </c>
      <c r="Q684" s="63"/>
      <c r="R684" s="63">
        <v>365232.97</v>
      </c>
      <c r="S684" s="63">
        <v>36000</v>
      </c>
      <c r="T684" s="64">
        <v>559362.73667219095</v>
      </c>
      <c r="U684" s="205"/>
    </row>
    <row r="685" spans="1:70" s="136" customFormat="1" x14ac:dyDescent="0.25">
      <c r="A685" s="193">
        <f t="shared" si="66"/>
        <v>663</v>
      </c>
      <c r="B685" s="107">
        <f t="shared" si="64"/>
        <v>203</v>
      </c>
      <c r="C685" s="53" t="s">
        <v>108</v>
      </c>
      <c r="D685" s="53" t="s">
        <v>639</v>
      </c>
      <c r="E685" s="62">
        <f t="shared" si="65"/>
        <v>2151481.9070240036</v>
      </c>
      <c r="F685" s="55"/>
      <c r="G685" s="63"/>
      <c r="H685" s="63"/>
      <c r="I685" s="63"/>
      <c r="J685" s="63">
        <v>1843469.38522569</v>
      </c>
      <c r="K685" s="63"/>
      <c r="L685" s="55"/>
      <c r="M685" s="63"/>
      <c r="N685" s="63"/>
      <c r="O685" s="63"/>
      <c r="P685" s="63"/>
      <c r="Q685" s="63"/>
      <c r="R685" s="63">
        <v>243699.58</v>
      </c>
      <c r="S685" s="63">
        <v>24000</v>
      </c>
      <c r="T685" s="64">
        <v>40312.941798313601</v>
      </c>
      <c r="U685" s="205"/>
    </row>
    <row r="686" spans="1:70" s="136" customFormat="1" x14ac:dyDescent="0.25">
      <c r="A686" s="193">
        <f t="shared" si="66"/>
        <v>664</v>
      </c>
      <c r="B686" s="107">
        <f t="shared" si="64"/>
        <v>204</v>
      </c>
      <c r="C686" s="53" t="s">
        <v>108</v>
      </c>
      <c r="D686" s="53" t="s">
        <v>640</v>
      </c>
      <c r="E686" s="62">
        <f t="shared" si="65"/>
        <v>2154465.0661119968</v>
      </c>
      <c r="F686" s="55"/>
      <c r="G686" s="63"/>
      <c r="H686" s="63"/>
      <c r="I686" s="63"/>
      <c r="J686" s="63">
        <v>1847918.7164512</v>
      </c>
      <c r="K686" s="63"/>
      <c r="L686" s="55"/>
      <c r="M686" s="63"/>
      <c r="N686" s="63"/>
      <c r="O686" s="63"/>
      <c r="P686" s="63"/>
      <c r="Q686" s="63"/>
      <c r="R686" s="63">
        <v>242136.11</v>
      </c>
      <c r="S686" s="63">
        <v>24000</v>
      </c>
      <c r="T686" s="64">
        <v>40410.239660796797</v>
      </c>
      <c r="U686" s="205"/>
    </row>
    <row r="687" spans="1:70" s="136" customFormat="1" x14ac:dyDescent="0.25">
      <c r="A687" s="193">
        <f t="shared" si="66"/>
        <v>665</v>
      </c>
      <c r="B687" s="107">
        <f t="shared" si="64"/>
        <v>205</v>
      </c>
      <c r="C687" s="53" t="s">
        <v>108</v>
      </c>
      <c r="D687" s="107" t="s">
        <v>384</v>
      </c>
      <c r="E687" s="62">
        <f t="shared" si="65"/>
        <v>13994346.925587621</v>
      </c>
      <c r="F687" s="55"/>
      <c r="G687" s="63"/>
      <c r="H687" s="63"/>
      <c r="I687" s="63"/>
      <c r="J687" s="63"/>
      <c r="K687" s="63"/>
      <c r="L687" s="55"/>
      <c r="M687" s="63"/>
      <c r="N687" s="63"/>
      <c r="O687" s="63"/>
      <c r="P687" s="63">
        <v>12745243.560000001</v>
      </c>
      <c r="Q687" s="63"/>
      <c r="R687" s="63">
        <v>569685.91</v>
      </c>
      <c r="S687" s="63">
        <v>18000</v>
      </c>
      <c r="T687" s="64">
        <v>661417.45558761898</v>
      </c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</row>
    <row r="688" spans="1:70" x14ac:dyDescent="0.25">
      <c r="A688" s="193">
        <f t="shared" si="66"/>
        <v>666</v>
      </c>
      <c r="B688" s="107">
        <f t="shared" si="64"/>
        <v>206</v>
      </c>
      <c r="C688" s="53" t="s">
        <v>108</v>
      </c>
      <c r="D688" s="53" t="s">
        <v>194</v>
      </c>
      <c r="E688" s="62">
        <f t="shared" si="65"/>
        <v>9673559.2076600008</v>
      </c>
      <c r="F688" s="55"/>
      <c r="G688" s="63">
        <v>5132408.83</v>
      </c>
      <c r="H688" s="63"/>
      <c r="I688" s="63">
        <v>2627357.42</v>
      </c>
      <c r="J688" s="63"/>
      <c r="K688" s="63"/>
      <c r="L688" s="55"/>
      <c r="M688" s="63">
        <v>0</v>
      </c>
      <c r="N688" s="63"/>
      <c r="O688" s="63">
        <v>0</v>
      </c>
      <c r="P688" s="63"/>
      <c r="Q688" s="63">
        <v>980536.67</v>
      </c>
      <c r="R688" s="63"/>
      <c r="S688" s="63"/>
      <c r="T688" s="64">
        <v>933256.28766000003</v>
      </c>
      <c r="U688" s="205"/>
    </row>
    <row r="689" spans="1:70" x14ac:dyDescent="0.25">
      <c r="A689" s="193">
        <f t="shared" si="66"/>
        <v>667</v>
      </c>
      <c r="B689" s="107">
        <f t="shared" si="64"/>
        <v>207</v>
      </c>
      <c r="C689" s="53" t="s">
        <v>108</v>
      </c>
      <c r="D689" s="53" t="s">
        <v>195</v>
      </c>
      <c r="E689" s="62">
        <f t="shared" si="65"/>
        <v>4153488.6462407401</v>
      </c>
      <c r="F689" s="55"/>
      <c r="G689" s="63">
        <v>1950514.3</v>
      </c>
      <c r="H689" s="63"/>
      <c r="I689" s="63"/>
      <c r="J689" s="63"/>
      <c r="K689" s="63"/>
      <c r="L689" s="55"/>
      <c r="M689" s="63"/>
      <c r="N689" s="63"/>
      <c r="O689" s="63"/>
      <c r="P689" s="63"/>
      <c r="Q689" s="63">
        <v>1144560.06</v>
      </c>
      <c r="R689" s="63"/>
      <c r="S689" s="63"/>
      <c r="T689" s="64">
        <v>1058414.28624074</v>
      </c>
      <c r="U689" s="205"/>
    </row>
    <row r="690" spans="1:70" x14ac:dyDescent="0.25">
      <c r="A690" s="193">
        <f t="shared" si="66"/>
        <v>668</v>
      </c>
      <c r="B690" s="107">
        <f t="shared" si="64"/>
        <v>208</v>
      </c>
      <c r="C690" s="53" t="s">
        <v>108</v>
      </c>
      <c r="D690" s="53" t="s">
        <v>191</v>
      </c>
      <c r="E690" s="110">
        <f t="shared" si="65"/>
        <v>23551130.80631347</v>
      </c>
      <c r="F690" s="55"/>
      <c r="G690" s="63">
        <v>1063489.17</v>
      </c>
      <c r="H690" s="63">
        <v>0</v>
      </c>
      <c r="I690" s="63">
        <v>1045305.74</v>
      </c>
      <c r="J690" s="63"/>
      <c r="K690" s="63"/>
      <c r="L690" s="55"/>
      <c r="M690" s="63">
        <v>0</v>
      </c>
      <c r="N690" s="63">
        <v>0</v>
      </c>
      <c r="O690" s="63">
        <v>0</v>
      </c>
      <c r="P690" s="63">
        <v>21020996.219999999</v>
      </c>
      <c r="Q690" s="63">
        <v>0</v>
      </c>
      <c r="R690" s="63"/>
      <c r="S690" s="63"/>
      <c r="T690" s="64">
        <v>421339.67631347198</v>
      </c>
      <c r="U690" s="205"/>
    </row>
    <row r="691" spans="1:70" x14ac:dyDescent="0.25">
      <c r="A691" s="193">
        <f t="shared" si="66"/>
        <v>669</v>
      </c>
      <c r="B691" s="107">
        <f t="shared" si="64"/>
        <v>209</v>
      </c>
      <c r="C691" s="53" t="s">
        <v>108</v>
      </c>
      <c r="D691" s="53" t="s">
        <v>386</v>
      </c>
      <c r="E691" s="110">
        <f t="shared" si="65"/>
        <v>24918756.190889981</v>
      </c>
      <c r="F691" s="55">
        <v>3719699.05</v>
      </c>
      <c r="G691" s="63">
        <v>1063489.17</v>
      </c>
      <c r="H691" s="63"/>
      <c r="I691" s="63">
        <v>1307914.6299999999</v>
      </c>
      <c r="J691" s="63"/>
      <c r="K691" s="63"/>
      <c r="L691" s="55"/>
      <c r="M691" s="63">
        <v>0</v>
      </c>
      <c r="N691" s="63">
        <v>0</v>
      </c>
      <c r="O691" s="63">
        <v>0</v>
      </c>
      <c r="P691" s="63">
        <v>18389791.475693598</v>
      </c>
      <c r="Q691" s="63">
        <v>0</v>
      </c>
      <c r="R691" s="63"/>
      <c r="S691" s="63"/>
      <c r="T691" s="64">
        <v>437861.86519638199</v>
      </c>
      <c r="U691" s="205"/>
    </row>
    <row r="692" spans="1:70" x14ac:dyDescent="0.25">
      <c r="A692" s="193">
        <f t="shared" si="66"/>
        <v>670</v>
      </c>
      <c r="B692" s="107">
        <f t="shared" si="64"/>
        <v>210</v>
      </c>
      <c r="C692" s="53" t="s">
        <v>108</v>
      </c>
      <c r="D692" s="53" t="s">
        <v>193</v>
      </c>
      <c r="E692" s="110">
        <f t="shared" si="65"/>
        <v>83638884.829224125</v>
      </c>
      <c r="F692" s="55">
        <v>17221734.281132601</v>
      </c>
      <c r="G692" s="63">
        <v>6964417.7973911902</v>
      </c>
      <c r="H692" s="63">
        <v>7361880.4179572798</v>
      </c>
      <c r="I692" s="63">
        <v>5613454.0810143603</v>
      </c>
      <c r="J692" s="63"/>
      <c r="K692" s="63"/>
      <c r="L692" s="55">
        <v>660810.72921234602</v>
      </c>
      <c r="M692" s="63">
        <v>0</v>
      </c>
      <c r="N692" s="63">
        <v>0</v>
      </c>
      <c r="O692" s="63">
        <v>0</v>
      </c>
      <c r="P692" s="63">
        <v>42501410.399999999</v>
      </c>
      <c r="Q692" s="63"/>
      <c r="R692" s="63">
        <v>1578503.96</v>
      </c>
      <c r="S692" s="63"/>
      <c r="T692" s="64">
        <v>1736673.1625163599</v>
      </c>
      <c r="U692" s="205"/>
    </row>
    <row r="693" spans="1:70" x14ac:dyDescent="0.25">
      <c r="A693" s="193">
        <f t="shared" si="66"/>
        <v>671</v>
      </c>
      <c r="B693" s="107">
        <f t="shared" si="64"/>
        <v>211</v>
      </c>
      <c r="C693" s="53" t="s">
        <v>108</v>
      </c>
      <c r="D693" s="53" t="s">
        <v>196</v>
      </c>
      <c r="E693" s="110">
        <f t="shared" si="65"/>
        <v>25561216.944625407</v>
      </c>
      <c r="F693" s="55">
        <v>3719699.05</v>
      </c>
      <c r="G693" s="63">
        <v>1397547.49</v>
      </c>
      <c r="H693" s="63"/>
      <c r="I693" s="63"/>
      <c r="J693" s="63"/>
      <c r="K693" s="63"/>
      <c r="L693" s="55"/>
      <c r="M693" s="63">
        <v>0</v>
      </c>
      <c r="N693" s="63">
        <v>0</v>
      </c>
      <c r="O693" s="63">
        <v>0</v>
      </c>
      <c r="P693" s="63">
        <v>19819142.883416101</v>
      </c>
      <c r="Q693" s="63">
        <v>0</v>
      </c>
      <c r="R693" s="63"/>
      <c r="S693" s="63"/>
      <c r="T693" s="64">
        <v>624827.52120930701</v>
      </c>
      <c r="U693" s="205"/>
    </row>
    <row r="694" spans="1:70" x14ac:dyDescent="0.25">
      <c r="A694" s="193">
        <f t="shared" si="66"/>
        <v>672</v>
      </c>
      <c r="B694" s="107">
        <f t="shared" si="64"/>
        <v>212</v>
      </c>
      <c r="C694" s="53" t="s">
        <v>108</v>
      </c>
      <c r="D694" s="53" t="s">
        <v>641</v>
      </c>
      <c r="E694" s="110">
        <f t="shared" si="65"/>
        <v>10706532.70271406</v>
      </c>
      <c r="F694" s="55">
        <v>4901618.18</v>
      </c>
      <c r="G694" s="63">
        <v>2145933.83</v>
      </c>
      <c r="H694" s="63">
        <v>1409651.11</v>
      </c>
      <c r="I694" s="63">
        <v>1800531.61</v>
      </c>
      <c r="J694" s="63">
        <v>0</v>
      </c>
      <c r="K694" s="63"/>
      <c r="L694" s="55">
        <v>193232.636362755</v>
      </c>
      <c r="M694" s="63">
        <v>0</v>
      </c>
      <c r="N694" s="63"/>
      <c r="O694" s="63"/>
      <c r="P694" s="63"/>
      <c r="Q694" s="63">
        <v>0</v>
      </c>
      <c r="R694" s="63"/>
      <c r="S694" s="63"/>
      <c r="T694" s="64">
        <v>255565.336351306</v>
      </c>
      <c r="U694" s="205"/>
    </row>
    <row r="695" spans="1:70" x14ac:dyDescent="0.25">
      <c r="A695" s="193">
        <f t="shared" si="66"/>
        <v>673</v>
      </c>
      <c r="B695" s="107">
        <f t="shared" si="64"/>
        <v>213</v>
      </c>
      <c r="C695" s="53" t="s">
        <v>642</v>
      </c>
      <c r="D695" s="212" t="s">
        <v>643</v>
      </c>
      <c r="E695" s="110">
        <f t="shared" si="65"/>
        <v>13430517.443374706</v>
      </c>
      <c r="F695" s="55"/>
      <c r="G695" s="63"/>
      <c r="H695" s="63"/>
      <c r="I695" s="63"/>
      <c r="J695" s="63"/>
      <c r="K695" s="63"/>
      <c r="L695" s="55"/>
      <c r="M695" s="63"/>
      <c r="N695" s="63">
        <v>4706853.21</v>
      </c>
      <c r="O695" s="63"/>
      <c r="P695" s="63">
        <v>8296699.9900000002</v>
      </c>
      <c r="Q695" s="63"/>
      <c r="R695" s="63"/>
      <c r="S695" s="63">
        <v>146599.62535876001</v>
      </c>
      <c r="T695" s="64">
        <v>280364.61801594601</v>
      </c>
      <c r="U695" s="205"/>
    </row>
    <row r="696" spans="1:70" x14ac:dyDescent="0.25">
      <c r="A696" s="193">
        <f t="shared" si="66"/>
        <v>674</v>
      </c>
      <c r="B696" s="107">
        <f t="shared" si="64"/>
        <v>214</v>
      </c>
      <c r="C696" s="53" t="s">
        <v>642</v>
      </c>
      <c r="D696" s="213" t="s">
        <v>644</v>
      </c>
      <c r="E696" s="110">
        <f t="shared" si="65"/>
        <v>14278224.941667331</v>
      </c>
      <c r="F696" s="55"/>
      <c r="G696" s="63"/>
      <c r="H696" s="63"/>
      <c r="I696" s="63"/>
      <c r="J696" s="63"/>
      <c r="K696" s="63"/>
      <c r="L696" s="55"/>
      <c r="M696" s="63"/>
      <c r="N696" s="63">
        <v>5086438.1500000004</v>
      </c>
      <c r="O696" s="63"/>
      <c r="P696" s="63">
        <v>8779066.2699999996</v>
      </c>
      <c r="Q696" s="63"/>
      <c r="R696" s="63"/>
      <c r="S696" s="63">
        <v>141708.995057939</v>
      </c>
      <c r="T696" s="64">
        <v>271011.52660939301</v>
      </c>
      <c r="U696" s="205"/>
    </row>
    <row r="697" spans="1:70" x14ac:dyDescent="0.25">
      <c r="A697" s="193">
        <f t="shared" si="66"/>
        <v>675</v>
      </c>
      <c r="B697" s="107">
        <f t="shared" si="64"/>
        <v>215</v>
      </c>
      <c r="C697" s="53" t="s">
        <v>642</v>
      </c>
      <c r="D697" s="214" t="s">
        <v>645</v>
      </c>
      <c r="E697" s="110">
        <f t="shared" si="65"/>
        <v>14005450.364314687</v>
      </c>
      <c r="F697" s="55"/>
      <c r="G697" s="63"/>
      <c r="H697" s="63"/>
      <c r="I697" s="63"/>
      <c r="J697" s="63"/>
      <c r="K697" s="63"/>
      <c r="L697" s="55"/>
      <c r="M697" s="63"/>
      <c r="N697" s="63">
        <v>5031838.62</v>
      </c>
      <c r="O697" s="63"/>
      <c r="P697" s="63">
        <v>8530666.7400000002</v>
      </c>
      <c r="Q697" s="63"/>
      <c r="R697" s="63"/>
      <c r="S697" s="63">
        <v>152086.67398895</v>
      </c>
      <c r="T697" s="64">
        <v>290858.33032573701</v>
      </c>
      <c r="U697" s="205"/>
    </row>
    <row r="698" spans="1:70" x14ac:dyDescent="0.25">
      <c r="A698" s="193">
        <f t="shared" si="66"/>
        <v>676</v>
      </c>
      <c r="B698" s="107">
        <f t="shared" si="64"/>
        <v>216</v>
      </c>
      <c r="C698" s="53" t="s">
        <v>389</v>
      </c>
      <c r="D698" s="53" t="s">
        <v>646</v>
      </c>
      <c r="E698" s="110">
        <f t="shared" si="65"/>
        <v>620383.78927532292</v>
      </c>
      <c r="F698" s="55"/>
      <c r="G698" s="63"/>
      <c r="H698" s="63">
        <v>607107.57618483098</v>
      </c>
      <c r="I698" s="63"/>
      <c r="J698" s="63"/>
      <c r="K698" s="63"/>
      <c r="L698" s="55"/>
      <c r="M698" s="63">
        <v>0</v>
      </c>
      <c r="N698" s="63">
        <v>0</v>
      </c>
      <c r="O698" s="63">
        <v>0</v>
      </c>
      <c r="P698" s="63">
        <v>0</v>
      </c>
      <c r="Q698" s="63">
        <v>0</v>
      </c>
      <c r="R698" s="63"/>
      <c r="S698" s="63"/>
      <c r="T698" s="64">
        <v>13276.213090491899</v>
      </c>
      <c r="U698" s="205"/>
    </row>
    <row r="699" spans="1:70" x14ac:dyDescent="0.25">
      <c r="A699" s="193">
        <f t="shared" si="66"/>
        <v>677</v>
      </c>
      <c r="B699" s="107">
        <f t="shared" si="64"/>
        <v>217</v>
      </c>
      <c r="C699" s="53" t="s">
        <v>204</v>
      </c>
      <c r="D699" s="53" t="s">
        <v>647</v>
      </c>
      <c r="E699" s="110">
        <f t="shared" si="65"/>
        <v>4237829.1954330467</v>
      </c>
      <c r="F699" s="55">
        <v>2564316.59</v>
      </c>
      <c r="G699" s="63">
        <v>0</v>
      </c>
      <c r="H699" s="63">
        <v>712801.23633926106</v>
      </c>
      <c r="I699" s="63">
        <v>607467.74786197406</v>
      </c>
      <c r="J699" s="63">
        <v>0</v>
      </c>
      <c r="K699" s="63"/>
      <c r="L699" s="55">
        <v>264228.82908605202</v>
      </c>
      <c r="M699" s="63">
        <v>0</v>
      </c>
      <c r="N699" s="63">
        <v>0</v>
      </c>
      <c r="O699" s="63">
        <v>0</v>
      </c>
      <c r="P699" s="63">
        <v>0</v>
      </c>
      <c r="Q699" s="63">
        <v>0</v>
      </c>
      <c r="R699" s="63"/>
      <c r="S699" s="63"/>
      <c r="T699" s="64">
        <v>89014.792145759799</v>
      </c>
      <c r="U699" s="205"/>
    </row>
    <row r="700" spans="1:70" x14ac:dyDescent="0.25">
      <c r="A700" s="193">
        <f t="shared" si="66"/>
        <v>678</v>
      </c>
      <c r="B700" s="107">
        <f t="shared" si="64"/>
        <v>218</v>
      </c>
      <c r="C700" s="53" t="s">
        <v>204</v>
      </c>
      <c r="D700" s="53" t="s">
        <v>205</v>
      </c>
      <c r="E700" s="110">
        <f t="shared" si="65"/>
        <v>857576.7632287594</v>
      </c>
      <c r="F700" s="55"/>
      <c r="G700" s="63"/>
      <c r="H700" s="63">
        <v>839224.62049566396</v>
      </c>
      <c r="I700" s="63"/>
      <c r="J700" s="63">
        <v>0</v>
      </c>
      <c r="K700" s="63"/>
      <c r="L700" s="55"/>
      <c r="M700" s="63">
        <v>0</v>
      </c>
      <c r="N700" s="63">
        <v>0</v>
      </c>
      <c r="O700" s="63">
        <v>0</v>
      </c>
      <c r="P700" s="63">
        <v>0</v>
      </c>
      <c r="Q700" s="63">
        <v>0</v>
      </c>
      <c r="R700" s="63"/>
      <c r="S700" s="63"/>
      <c r="T700" s="64">
        <v>18352.142733095501</v>
      </c>
      <c r="U700" s="205"/>
    </row>
    <row r="701" spans="1:70" x14ac:dyDescent="0.25">
      <c r="A701" s="193">
        <f t="shared" si="66"/>
        <v>679</v>
      </c>
      <c r="B701" s="107">
        <f t="shared" si="64"/>
        <v>219</v>
      </c>
      <c r="C701" s="53" t="s">
        <v>204</v>
      </c>
      <c r="D701" s="107" t="s">
        <v>488</v>
      </c>
      <c r="E701" s="62">
        <f t="shared" si="65"/>
        <v>1515906.8684899199</v>
      </c>
      <c r="F701" s="55"/>
      <c r="G701" s="63"/>
      <c r="H701" s="63">
        <v>1282797.7023539999</v>
      </c>
      <c r="I701" s="63"/>
      <c r="J701" s="63">
        <v>0</v>
      </c>
      <c r="K701" s="63"/>
      <c r="L701" s="55"/>
      <c r="M701" s="63">
        <v>0</v>
      </c>
      <c r="N701" s="63">
        <v>0</v>
      </c>
      <c r="O701" s="63">
        <v>0</v>
      </c>
      <c r="P701" s="63">
        <v>0</v>
      </c>
      <c r="Q701" s="63">
        <v>0</v>
      </c>
      <c r="R701" s="63">
        <v>9159.9599999999991</v>
      </c>
      <c r="S701" s="63">
        <v>6000</v>
      </c>
      <c r="T701" s="64">
        <v>217949.20613591999</v>
      </c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</row>
    <row r="702" spans="1:70" x14ac:dyDescent="0.25">
      <c r="A702" s="193">
        <f t="shared" si="66"/>
        <v>680</v>
      </c>
      <c r="B702" s="107">
        <f t="shared" si="64"/>
        <v>220</v>
      </c>
      <c r="C702" s="53" t="s">
        <v>648</v>
      </c>
      <c r="D702" s="53" t="s">
        <v>649</v>
      </c>
      <c r="E702" s="110">
        <f t="shared" si="65"/>
        <v>2228944.7533804416</v>
      </c>
      <c r="F702" s="55">
        <v>1956022.0744509301</v>
      </c>
      <c r="G702" s="63">
        <v>0</v>
      </c>
      <c r="H702" s="63">
        <v>0</v>
      </c>
      <c r="I702" s="63">
        <v>0</v>
      </c>
      <c r="J702" s="63">
        <v>0</v>
      </c>
      <c r="K702" s="63"/>
      <c r="L702" s="55">
        <v>207894.42769916999</v>
      </c>
      <c r="M702" s="63">
        <v>0</v>
      </c>
      <c r="N702" s="63">
        <v>0</v>
      </c>
      <c r="O702" s="63">
        <v>0</v>
      </c>
      <c r="P702" s="63">
        <v>0</v>
      </c>
      <c r="Q702" s="63">
        <v>0</v>
      </c>
      <c r="R702" s="63">
        <v>11707.78</v>
      </c>
      <c r="S702" s="63">
        <v>6000</v>
      </c>
      <c r="T702" s="64">
        <v>47320.471230341398</v>
      </c>
      <c r="U702" s="205"/>
    </row>
    <row r="703" spans="1:70" x14ac:dyDescent="0.25">
      <c r="A703" s="193">
        <f t="shared" si="66"/>
        <v>681</v>
      </c>
      <c r="B703" s="107">
        <f t="shared" si="64"/>
        <v>221</v>
      </c>
      <c r="C703" s="53" t="s">
        <v>648</v>
      </c>
      <c r="D703" s="53" t="s">
        <v>650</v>
      </c>
      <c r="E703" s="110">
        <f t="shared" si="65"/>
        <v>3094382.2829624792</v>
      </c>
      <c r="F703" s="55">
        <v>1317992.10136421</v>
      </c>
      <c r="G703" s="63">
        <v>812946.76704602805</v>
      </c>
      <c r="H703" s="63">
        <v>379638.95355079102</v>
      </c>
      <c r="I703" s="63">
        <v>329956.81482307299</v>
      </c>
      <c r="J703" s="63">
        <v>0</v>
      </c>
      <c r="K703" s="63"/>
      <c r="L703" s="55">
        <v>129150.51650498</v>
      </c>
      <c r="M703" s="63">
        <v>0</v>
      </c>
      <c r="N703" s="63">
        <v>0</v>
      </c>
      <c r="O703" s="63">
        <v>0</v>
      </c>
      <c r="P703" s="63">
        <v>0</v>
      </c>
      <c r="Q703" s="63">
        <v>0</v>
      </c>
      <c r="R703" s="63">
        <v>35756.129999999997</v>
      </c>
      <c r="S703" s="63">
        <v>24000</v>
      </c>
      <c r="T703" s="64">
        <v>64940.999673397098</v>
      </c>
      <c r="U703" s="205"/>
    </row>
    <row r="704" spans="1:70" x14ac:dyDescent="0.25">
      <c r="A704" s="193">
        <f t="shared" si="66"/>
        <v>682</v>
      </c>
      <c r="B704" s="107">
        <f t="shared" si="64"/>
        <v>222</v>
      </c>
      <c r="C704" s="53" t="s">
        <v>648</v>
      </c>
      <c r="D704" s="53" t="s">
        <v>651</v>
      </c>
      <c r="E704" s="110">
        <f t="shared" si="65"/>
        <v>3843508.5161584667</v>
      </c>
      <c r="F704" s="55">
        <v>2560605.4059906602</v>
      </c>
      <c r="G704" s="63">
        <v>1040839.31581896</v>
      </c>
      <c r="H704" s="63">
        <v>0</v>
      </c>
      <c r="I704" s="63">
        <v>0</v>
      </c>
      <c r="J704" s="63">
        <v>0</v>
      </c>
      <c r="K704" s="63"/>
      <c r="L704" s="55">
        <v>93686.4984670556</v>
      </c>
      <c r="M704" s="63">
        <v>0</v>
      </c>
      <c r="N704" s="63"/>
      <c r="O704" s="63">
        <v>0</v>
      </c>
      <c r="P704" s="63">
        <v>0</v>
      </c>
      <c r="Q704" s="63">
        <v>0</v>
      </c>
      <c r="R704" s="63">
        <v>51572.26</v>
      </c>
      <c r="S704" s="63">
        <v>16000</v>
      </c>
      <c r="T704" s="64">
        <v>80805.035881791104</v>
      </c>
      <c r="U704" s="205"/>
    </row>
    <row r="705" spans="1:70" x14ac:dyDescent="0.25">
      <c r="A705" s="193">
        <f t="shared" si="66"/>
        <v>683</v>
      </c>
      <c r="B705" s="107">
        <f t="shared" si="64"/>
        <v>223</v>
      </c>
      <c r="C705" s="53" t="s">
        <v>648</v>
      </c>
      <c r="D705" s="53" t="s">
        <v>652</v>
      </c>
      <c r="E705" s="110">
        <f t="shared" si="65"/>
        <v>4725406.3033073274</v>
      </c>
      <c r="F705" s="55">
        <v>2059043.85289681</v>
      </c>
      <c r="G705" s="63">
        <v>1252899.4472983701</v>
      </c>
      <c r="H705" s="63">
        <v>590368.17441615404</v>
      </c>
      <c r="I705" s="63">
        <v>503127.108987329</v>
      </c>
      <c r="J705" s="63">
        <v>0</v>
      </c>
      <c r="K705" s="63"/>
      <c r="L705" s="55">
        <v>218844.02481788801</v>
      </c>
      <c r="M705" s="63">
        <v>0</v>
      </c>
      <c r="N705" s="63">
        <v>0</v>
      </c>
      <c r="O705" s="63">
        <v>0</v>
      </c>
      <c r="P705" s="63">
        <v>0</v>
      </c>
      <c r="Q705" s="63">
        <v>0</v>
      </c>
      <c r="R705" s="63"/>
      <c r="S705" s="63"/>
      <c r="T705" s="64">
        <v>101123.694890777</v>
      </c>
      <c r="U705" s="205"/>
    </row>
    <row r="706" spans="1:70" x14ac:dyDescent="0.25">
      <c r="A706" s="193">
        <f t="shared" si="66"/>
        <v>684</v>
      </c>
      <c r="B706" s="107">
        <f t="shared" si="64"/>
        <v>224</v>
      </c>
      <c r="C706" s="53" t="s">
        <v>206</v>
      </c>
      <c r="D706" s="53" t="s">
        <v>653</v>
      </c>
      <c r="E706" s="110">
        <f t="shared" si="65"/>
        <v>749159.6821158001</v>
      </c>
      <c r="F706" s="55">
        <v>0</v>
      </c>
      <c r="G706" s="63">
        <v>0</v>
      </c>
      <c r="H706" s="63">
        <v>733127.664918522</v>
      </c>
      <c r="I706" s="63">
        <v>0</v>
      </c>
      <c r="J706" s="63">
        <v>0</v>
      </c>
      <c r="K706" s="63"/>
      <c r="L706" s="55"/>
      <c r="M706" s="63">
        <v>0</v>
      </c>
      <c r="N706" s="63">
        <v>0</v>
      </c>
      <c r="O706" s="63">
        <v>0</v>
      </c>
      <c r="P706" s="63">
        <v>0</v>
      </c>
      <c r="Q706" s="63">
        <v>0</v>
      </c>
      <c r="R706" s="63"/>
      <c r="S706" s="63"/>
      <c r="T706" s="64">
        <v>16032.017197278101</v>
      </c>
      <c r="U706" s="205"/>
    </row>
    <row r="707" spans="1:70" x14ac:dyDescent="0.25">
      <c r="A707" s="193">
        <f t="shared" si="66"/>
        <v>685</v>
      </c>
      <c r="B707" s="107">
        <f t="shared" si="64"/>
        <v>225</v>
      </c>
      <c r="C707" s="53" t="s">
        <v>206</v>
      </c>
      <c r="D707" s="53" t="s">
        <v>654</v>
      </c>
      <c r="E707" s="110">
        <f t="shared" si="65"/>
        <v>683704.67105184752</v>
      </c>
      <c r="F707" s="55">
        <v>0</v>
      </c>
      <c r="G707" s="63">
        <v>0</v>
      </c>
      <c r="H707" s="63">
        <v>669073.39109133801</v>
      </c>
      <c r="I707" s="63">
        <v>0</v>
      </c>
      <c r="J707" s="63">
        <v>0</v>
      </c>
      <c r="K707" s="63"/>
      <c r="L707" s="55"/>
      <c r="M707" s="63">
        <v>0</v>
      </c>
      <c r="N707" s="63">
        <v>0</v>
      </c>
      <c r="O707" s="63">
        <v>0</v>
      </c>
      <c r="P707" s="63">
        <v>0</v>
      </c>
      <c r="Q707" s="63">
        <v>0</v>
      </c>
      <c r="R707" s="63"/>
      <c r="S707" s="63"/>
      <c r="T707" s="64">
        <v>14631.279960509501</v>
      </c>
      <c r="U707" s="205"/>
    </row>
    <row r="708" spans="1:70" x14ac:dyDescent="0.25">
      <c r="A708" s="193">
        <f t="shared" si="66"/>
        <v>686</v>
      </c>
      <c r="B708" s="107">
        <f t="shared" si="64"/>
        <v>226</v>
      </c>
      <c r="C708" s="53" t="s">
        <v>206</v>
      </c>
      <c r="D708" s="53" t="s">
        <v>490</v>
      </c>
      <c r="E708" s="62">
        <f t="shared" si="65"/>
        <v>9579879.0792860016</v>
      </c>
      <c r="F708" s="55">
        <v>2221722.06</v>
      </c>
      <c r="G708" s="63"/>
      <c r="H708" s="63"/>
      <c r="I708" s="63"/>
      <c r="J708" s="63">
        <v>0</v>
      </c>
      <c r="K708" s="63"/>
      <c r="L708" s="55">
        <v>228234.10595495999</v>
      </c>
      <c r="M708" s="63">
        <v>0</v>
      </c>
      <c r="N708" s="63">
        <v>6850480.8288420001</v>
      </c>
      <c r="O708" s="63">
        <v>0</v>
      </c>
      <c r="P708" s="63">
        <v>0</v>
      </c>
      <c r="Q708" s="63">
        <v>0</v>
      </c>
      <c r="R708" s="63">
        <v>16006.57</v>
      </c>
      <c r="S708" s="63">
        <v>26379.8482</v>
      </c>
      <c r="T708" s="64">
        <v>237055.66628904</v>
      </c>
      <c r="U708" s="205"/>
    </row>
    <row r="709" spans="1:70" x14ac:dyDescent="0.25">
      <c r="A709" s="193">
        <f t="shared" si="66"/>
        <v>687</v>
      </c>
      <c r="B709" s="107">
        <f t="shared" si="64"/>
        <v>227</v>
      </c>
      <c r="C709" s="53" t="s">
        <v>206</v>
      </c>
      <c r="D709" s="53" t="s">
        <v>655</v>
      </c>
      <c r="E709" s="110">
        <f t="shared" si="65"/>
        <v>5313726.6901692608</v>
      </c>
      <c r="F709" s="55">
        <v>2358976.6817569602</v>
      </c>
      <c r="G709" s="63">
        <v>1427054.7794963201</v>
      </c>
      <c r="H709" s="63">
        <v>571344.40088906698</v>
      </c>
      <c r="I709" s="63">
        <v>585497.25201964704</v>
      </c>
      <c r="J709" s="63">
        <v>0</v>
      </c>
      <c r="K709" s="63"/>
      <c r="L709" s="55">
        <v>257139.82483764499</v>
      </c>
      <c r="M709" s="63">
        <v>0</v>
      </c>
      <c r="N709" s="63">
        <v>0</v>
      </c>
      <c r="O709" s="63">
        <v>0</v>
      </c>
      <c r="P709" s="63">
        <v>0</v>
      </c>
      <c r="Q709" s="63">
        <v>0</v>
      </c>
      <c r="R709" s="63"/>
      <c r="S709" s="63"/>
      <c r="T709" s="64">
        <v>113713.751169622</v>
      </c>
      <c r="U709" s="205"/>
    </row>
    <row r="710" spans="1:70" x14ac:dyDescent="0.25">
      <c r="A710" s="193">
        <f t="shared" si="66"/>
        <v>688</v>
      </c>
      <c r="B710" s="107">
        <f t="shared" si="64"/>
        <v>228</v>
      </c>
      <c r="C710" s="53" t="s">
        <v>206</v>
      </c>
      <c r="D710" s="53" t="s">
        <v>656</v>
      </c>
      <c r="E710" s="110">
        <f t="shared" si="65"/>
        <v>707527.1041998181</v>
      </c>
      <c r="F710" s="55">
        <v>0</v>
      </c>
      <c r="G710" s="63">
        <v>0</v>
      </c>
      <c r="H710" s="63">
        <v>692386.02416994201</v>
      </c>
      <c r="I710" s="63">
        <v>0</v>
      </c>
      <c r="J710" s="63">
        <v>0</v>
      </c>
      <c r="K710" s="63"/>
      <c r="L710" s="55"/>
      <c r="M710" s="63">
        <v>0</v>
      </c>
      <c r="N710" s="63">
        <v>0</v>
      </c>
      <c r="O710" s="63">
        <v>0</v>
      </c>
      <c r="P710" s="63">
        <v>0</v>
      </c>
      <c r="Q710" s="63">
        <v>0</v>
      </c>
      <c r="R710" s="63"/>
      <c r="S710" s="63"/>
      <c r="T710" s="64">
        <v>15141.080029876101</v>
      </c>
      <c r="U710" s="205"/>
    </row>
    <row r="711" spans="1:70" x14ac:dyDescent="0.25">
      <c r="A711" s="193">
        <f t="shared" si="66"/>
        <v>689</v>
      </c>
      <c r="B711" s="107">
        <f t="shared" si="64"/>
        <v>229</v>
      </c>
      <c r="C711" s="53" t="s">
        <v>206</v>
      </c>
      <c r="D711" s="53" t="s">
        <v>657</v>
      </c>
      <c r="E711" s="110">
        <f t="shared" si="65"/>
        <v>2130214.1386997038</v>
      </c>
      <c r="F711" s="55">
        <v>0</v>
      </c>
      <c r="G711" s="63">
        <v>0</v>
      </c>
      <c r="H711" s="63"/>
      <c r="I711" s="63">
        <v>0</v>
      </c>
      <c r="J711" s="63">
        <v>0</v>
      </c>
      <c r="K711" s="63"/>
      <c r="L711" s="55"/>
      <c r="M711" s="63">
        <v>0</v>
      </c>
      <c r="N711" s="63">
        <v>0</v>
      </c>
      <c r="O711" s="63">
        <v>0</v>
      </c>
      <c r="P711" s="63">
        <v>0</v>
      </c>
      <c r="Q711" s="63">
        <v>2084627.5561315301</v>
      </c>
      <c r="R711" s="63"/>
      <c r="S711" s="63"/>
      <c r="T711" s="64">
        <v>45586.582568173602</v>
      </c>
      <c r="U711" s="205"/>
    </row>
    <row r="712" spans="1:70" x14ac:dyDescent="0.25">
      <c r="A712" s="193">
        <f t="shared" si="66"/>
        <v>690</v>
      </c>
      <c r="B712" s="107">
        <f t="shared" si="64"/>
        <v>230</v>
      </c>
      <c r="C712" s="53" t="s">
        <v>206</v>
      </c>
      <c r="D712" s="53" t="s">
        <v>658</v>
      </c>
      <c r="E712" s="110">
        <f t="shared" si="65"/>
        <v>3122988.6782967299</v>
      </c>
      <c r="F712" s="55">
        <v>0</v>
      </c>
      <c r="G712" s="63">
        <v>0</v>
      </c>
      <c r="H712" s="63">
        <v>3056156.72058118</v>
      </c>
      <c r="I712" s="63">
        <v>0</v>
      </c>
      <c r="J712" s="63">
        <v>0</v>
      </c>
      <c r="K712" s="63"/>
      <c r="L712" s="55"/>
      <c r="M712" s="63">
        <v>0</v>
      </c>
      <c r="N712" s="63">
        <v>0</v>
      </c>
      <c r="O712" s="63">
        <v>0</v>
      </c>
      <c r="P712" s="63">
        <v>0</v>
      </c>
      <c r="Q712" s="63">
        <v>0</v>
      </c>
      <c r="R712" s="63"/>
      <c r="S712" s="63"/>
      <c r="T712" s="64">
        <v>66831.957715550103</v>
      </c>
      <c r="U712" s="205"/>
    </row>
    <row r="713" spans="1:70" ht="13.5" customHeight="1" x14ac:dyDescent="0.25">
      <c r="A713" s="193">
        <f t="shared" si="66"/>
        <v>691</v>
      </c>
      <c r="B713" s="107">
        <f t="shared" si="64"/>
        <v>231</v>
      </c>
      <c r="C713" s="53" t="s">
        <v>206</v>
      </c>
      <c r="D713" s="107" t="s">
        <v>209</v>
      </c>
      <c r="E713" s="62">
        <f t="shared" si="65"/>
        <v>2747060.5399898198</v>
      </c>
      <c r="F713" s="55"/>
      <c r="G713" s="63">
        <v>2459283.5299999998</v>
      </c>
      <c r="H713" s="63">
        <v>0</v>
      </c>
      <c r="I713" s="63"/>
      <c r="J713" s="63"/>
      <c r="K713" s="63"/>
      <c r="L713" s="55"/>
      <c r="M713" s="63">
        <v>0</v>
      </c>
      <c r="N713" s="63">
        <v>0</v>
      </c>
      <c r="O713" s="63"/>
      <c r="P713" s="63">
        <v>0</v>
      </c>
      <c r="Q713" s="63"/>
      <c r="R713" s="63"/>
      <c r="S713" s="63"/>
      <c r="T713" s="64">
        <v>287777.00998982001</v>
      </c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</row>
    <row r="714" spans="1:70" x14ac:dyDescent="0.25">
      <c r="A714" s="193">
        <f t="shared" si="66"/>
        <v>692</v>
      </c>
      <c r="B714" s="107">
        <f t="shared" si="64"/>
        <v>232</v>
      </c>
      <c r="C714" s="53" t="s">
        <v>206</v>
      </c>
      <c r="D714" s="53" t="s">
        <v>659</v>
      </c>
      <c r="E714" s="110">
        <f t="shared" si="65"/>
        <v>500481.02237764047</v>
      </c>
      <c r="F714" s="55">
        <v>0</v>
      </c>
      <c r="G714" s="63">
        <v>0</v>
      </c>
      <c r="H714" s="63">
        <v>489770.72849875898</v>
      </c>
      <c r="I714" s="63">
        <v>0</v>
      </c>
      <c r="J714" s="63">
        <v>0</v>
      </c>
      <c r="K714" s="63"/>
      <c r="L714" s="55"/>
      <c r="M714" s="63">
        <v>0</v>
      </c>
      <c r="N714" s="63">
        <v>0</v>
      </c>
      <c r="O714" s="63">
        <v>0</v>
      </c>
      <c r="P714" s="63">
        <v>0</v>
      </c>
      <c r="Q714" s="63">
        <v>0</v>
      </c>
      <c r="R714" s="63"/>
      <c r="S714" s="63"/>
      <c r="T714" s="64">
        <v>10710.293878881501</v>
      </c>
      <c r="U714" s="205"/>
    </row>
    <row r="715" spans="1:70" x14ac:dyDescent="0.25">
      <c r="A715" s="193">
        <f t="shared" si="66"/>
        <v>693</v>
      </c>
      <c r="B715" s="107">
        <f t="shared" si="64"/>
        <v>233</v>
      </c>
      <c r="C715" s="53" t="s">
        <v>206</v>
      </c>
      <c r="D715" s="53" t="s">
        <v>660</v>
      </c>
      <c r="E715" s="110">
        <f t="shared" si="65"/>
        <v>523522.52980028099</v>
      </c>
      <c r="F715" s="55">
        <v>0</v>
      </c>
      <c r="G715" s="63">
        <v>0</v>
      </c>
      <c r="H715" s="63">
        <v>512319.14766255498</v>
      </c>
      <c r="I715" s="63">
        <v>0</v>
      </c>
      <c r="J715" s="63">
        <v>0</v>
      </c>
      <c r="K715" s="63"/>
      <c r="L715" s="55"/>
      <c r="M715" s="63">
        <v>0</v>
      </c>
      <c r="N715" s="63">
        <v>0</v>
      </c>
      <c r="O715" s="63">
        <v>0</v>
      </c>
      <c r="P715" s="63">
        <v>0</v>
      </c>
      <c r="Q715" s="63">
        <v>0</v>
      </c>
      <c r="R715" s="63"/>
      <c r="S715" s="63"/>
      <c r="T715" s="64">
        <v>11203.382137725999</v>
      </c>
      <c r="U715" s="205"/>
    </row>
    <row r="716" spans="1:70" x14ac:dyDescent="0.25">
      <c r="A716" s="193">
        <f t="shared" si="66"/>
        <v>694</v>
      </c>
      <c r="B716" s="107">
        <f t="shared" si="64"/>
        <v>234</v>
      </c>
      <c r="C716" s="53" t="s">
        <v>206</v>
      </c>
      <c r="D716" s="53" t="s">
        <v>661</v>
      </c>
      <c r="E716" s="110">
        <f t="shared" si="65"/>
        <v>521641.59041884117</v>
      </c>
      <c r="F716" s="55">
        <v>0</v>
      </c>
      <c r="G716" s="63">
        <v>0</v>
      </c>
      <c r="H716" s="63">
        <v>510478.46038387797</v>
      </c>
      <c r="I716" s="63">
        <v>0</v>
      </c>
      <c r="J716" s="63">
        <v>0</v>
      </c>
      <c r="K716" s="63"/>
      <c r="L716" s="55"/>
      <c r="M716" s="63">
        <v>0</v>
      </c>
      <c r="N716" s="63">
        <v>0</v>
      </c>
      <c r="O716" s="63">
        <v>0</v>
      </c>
      <c r="P716" s="63">
        <v>0</v>
      </c>
      <c r="Q716" s="63">
        <v>0</v>
      </c>
      <c r="R716" s="63"/>
      <c r="S716" s="63"/>
      <c r="T716" s="64">
        <v>11163.1300349632</v>
      </c>
      <c r="U716" s="205"/>
    </row>
    <row r="717" spans="1:70" x14ac:dyDescent="0.25">
      <c r="A717" s="193">
        <f t="shared" si="66"/>
        <v>695</v>
      </c>
      <c r="B717" s="107">
        <f t="shared" si="64"/>
        <v>235</v>
      </c>
      <c r="C717" s="53" t="s">
        <v>397</v>
      </c>
      <c r="D717" s="53" t="s">
        <v>662</v>
      </c>
      <c r="E717" s="62">
        <f t="shared" si="65"/>
        <v>4035248.7116984073</v>
      </c>
      <c r="F717" s="55">
        <v>3828166.3</v>
      </c>
      <c r="G717" s="63"/>
      <c r="H717" s="63"/>
      <c r="I717" s="63"/>
      <c r="J717" s="63">
        <v>0</v>
      </c>
      <c r="K717" s="63"/>
      <c r="L717" s="55">
        <v>125708.395066618</v>
      </c>
      <c r="M717" s="63">
        <v>0</v>
      </c>
      <c r="N717" s="63">
        <v>0</v>
      </c>
      <c r="O717" s="63">
        <v>0</v>
      </c>
      <c r="P717" s="63">
        <v>0</v>
      </c>
      <c r="Q717" s="63">
        <v>0</v>
      </c>
      <c r="R717" s="63"/>
      <c r="S717" s="63"/>
      <c r="T717" s="64">
        <v>81374.016631789695</v>
      </c>
      <c r="U717" s="205"/>
    </row>
    <row r="718" spans="1:70" x14ac:dyDescent="0.25">
      <c r="A718" s="193">
        <f t="shared" si="66"/>
        <v>696</v>
      </c>
      <c r="B718" s="107">
        <f t="shared" si="64"/>
        <v>236</v>
      </c>
      <c r="C718" s="53" t="s">
        <v>397</v>
      </c>
      <c r="D718" s="107" t="s">
        <v>663</v>
      </c>
      <c r="E718" s="62">
        <f t="shared" si="65"/>
        <v>520542.46</v>
      </c>
      <c r="F718" s="55"/>
      <c r="G718" s="63"/>
      <c r="H718" s="63"/>
      <c r="I718" s="63">
        <v>520542.46</v>
      </c>
      <c r="J718" s="63"/>
      <c r="K718" s="63"/>
      <c r="L718" s="55"/>
      <c r="M718" s="63"/>
      <c r="N718" s="63"/>
      <c r="O718" s="63"/>
      <c r="P718" s="63"/>
      <c r="Q718" s="63"/>
      <c r="R718" s="63"/>
      <c r="S718" s="63"/>
      <c r="T718" s="64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</row>
    <row r="719" spans="1:70" x14ac:dyDescent="0.25">
      <c r="A719" s="193">
        <f t="shared" si="66"/>
        <v>697</v>
      </c>
      <c r="B719" s="107">
        <f t="shared" si="64"/>
        <v>237</v>
      </c>
      <c r="C719" s="53" t="s">
        <v>397</v>
      </c>
      <c r="D719" s="53" t="s">
        <v>664</v>
      </c>
      <c r="E719" s="62">
        <f t="shared" si="65"/>
        <v>1947788.4374377711</v>
      </c>
      <c r="F719" s="55"/>
      <c r="G719" s="63"/>
      <c r="H719" s="63">
        <v>1910484.53</v>
      </c>
      <c r="I719" s="63">
        <v>0</v>
      </c>
      <c r="J719" s="63">
        <v>0</v>
      </c>
      <c r="K719" s="63"/>
      <c r="L719" s="55"/>
      <c r="M719" s="63">
        <v>0</v>
      </c>
      <c r="N719" s="63">
        <v>0</v>
      </c>
      <c r="O719" s="63">
        <v>0</v>
      </c>
      <c r="P719" s="63">
        <v>0</v>
      </c>
      <c r="Q719" s="63">
        <v>0</v>
      </c>
      <c r="R719" s="63"/>
      <c r="S719" s="63"/>
      <c r="T719" s="64">
        <v>37303.907437770999</v>
      </c>
      <c r="U719" s="205"/>
    </row>
    <row r="720" spans="1:70" x14ac:dyDescent="0.25">
      <c r="A720" s="193">
        <f t="shared" si="66"/>
        <v>698</v>
      </c>
      <c r="B720" s="107">
        <f t="shared" si="64"/>
        <v>238</v>
      </c>
      <c r="C720" s="53" t="s">
        <v>397</v>
      </c>
      <c r="D720" s="53" t="s">
        <v>665</v>
      </c>
      <c r="E720" s="62">
        <f t="shared" si="65"/>
        <v>1365207.499136603</v>
      </c>
      <c r="F720" s="55"/>
      <c r="G720" s="63"/>
      <c r="H720" s="63">
        <v>1342966.97</v>
      </c>
      <c r="I720" s="63">
        <v>0</v>
      </c>
      <c r="J720" s="63">
        <v>0</v>
      </c>
      <c r="K720" s="63"/>
      <c r="L720" s="55"/>
      <c r="M720" s="63">
        <v>0</v>
      </c>
      <c r="N720" s="63">
        <v>0</v>
      </c>
      <c r="O720" s="63">
        <v>0</v>
      </c>
      <c r="P720" s="63">
        <v>0</v>
      </c>
      <c r="Q720" s="63">
        <v>0</v>
      </c>
      <c r="R720" s="63"/>
      <c r="S720" s="63"/>
      <c r="T720" s="64">
        <v>22240.529136603102</v>
      </c>
      <c r="U720" s="205"/>
    </row>
    <row r="721" spans="1:70" x14ac:dyDescent="0.25">
      <c r="A721" s="193">
        <f t="shared" si="66"/>
        <v>699</v>
      </c>
      <c r="B721" s="107">
        <f t="shared" si="64"/>
        <v>239</v>
      </c>
      <c r="C721" s="53" t="s">
        <v>397</v>
      </c>
      <c r="D721" s="107" t="s">
        <v>666</v>
      </c>
      <c r="E721" s="62">
        <f t="shared" si="65"/>
        <v>4850544.6946001276</v>
      </c>
      <c r="F721" s="55">
        <v>0</v>
      </c>
      <c r="G721" s="63">
        <v>0</v>
      </c>
      <c r="H721" s="63">
        <v>2252096.81</v>
      </c>
      <c r="I721" s="63">
        <v>2478946.2599999998</v>
      </c>
      <c r="J721" s="63">
        <v>0</v>
      </c>
      <c r="K721" s="63"/>
      <c r="L721" s="55"/>
      <c r="M721" s="63">
        <v>0</v>
      </c>
      <c r="N721" s="63">
        <v>0</v>
      </c>
      <c r="O721" s="63">
        <v>0</v>
      </c>
      <c r="P721" s="63">
        <v>0</v>
      </c>
      <c r="Q721" s="63">
        <v>0</v>
      </c>
      <c r="R721" s="63"/>
      <c r="S721" s="63"/>
      <c r="T721" s="64">
        <v>119501.624600127</v>
      </c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</row>
    <row r="722" spans="1:70" x14ac:dyDescent="0.25">
      <c r="A722" s="193">
        <f t="shared" si="66"/>
        <v>700</v>
      </c>
      <c r="B722" s="107">
        <f t="shared" si="64"/>
        <v>240</v>
      </c>
      <c r="C722" s="53" t="s">
        <v>397</v>
      </c>
      <c r="D722" s="107" t="s">
        <v>667</v>
      </c>
      <c r="E722" s="62">
        <f t="shared" si="65"/>
        <v>899363.70847460383</v>
      </c>
      <c r="F722" s="55">
        <v>0</v>
      </c>
      <c r="G722" s="63">
        <v>0</v>
      </c>
      <c r="H722" s="63">
        <v>887392.74</v>
      </c>
      <c r="I722" s="63">
        <v>0</v>
      </c>
      <c r="J722" s="63">
        <v>0</v>
      </c>
      <c r="K722" s="63"/>
      <c r="L722" s="55"/>
      <c r="M722" s="63">
        <v>0</v>
      </c>
      <c r="N722" s="63">
        <v>0</v>
      </c>
      <c r="O722" s="63">
        <v>0</v>
      </c>
      <c r="P722" s="63">
        <v>0</v>
      </c>
      <c r="Q722" s="63">
        <v>0</v>
      </c>
      <c r="R722" s="63"/>
      <c r="S722" s="63"/>
      <c r="T722" s="64">
        <v>11970.9684746038</v>
      </c>
      <c r="U722" s="205"/>
    </row>
    <row r="723" spans="1:70" x14ac:dyDescent="0.25">
      <c r="A723" s="193">
        <f t="shared" si="66"/>
        <v>701</v>
      </c>
      <c r="B723" s="107">
        <f t="shared" si="64"/>
        <v>241</v>
      </c>
      <c r="C723" s="53" t="s">
        <v>397</v>
      </c>
      <c r="D723" s="53" t="s">
        <v>668</v>
      </c>
      <c r="E723" s="62">
        <f t="shared" si="65"/>
        <v>1112898.0212374937</v>
      </c>
      <c r="F723" s="55">
        <v>0</v>
      </c>
      <c r="G723" s="63">
        <v>0</v>
      </c>
      <c r="H723" s="63">
        <v>1097208.8899999999</v>
      </c>
      <c r="I723" s="63">
        <v>0</v>
      </c>
      <c r="J723" s="63">
        <v>0</v>
      </c>
      <c r="K723" s="63"/>
      <c r="L723" s="55"/>
      <c r="M723" s="63">
        <v>0</v>
      </c>
      <c r="N723" s="63">
        <v>0</v>
      </c>
      <c r="O723" s="63">
        <v>0</v>
      </c>
      <c r="P723" s="63">
        <v>0</v>
      </c>
      <c r="Q723" s="63">
        <v>0</v>
      </c>
      <c r="R723" s="63"/>
      <c r="S723" s="63"/>
      <c r="T723" s="64">
        <v>15689.131237493801</v>
      </c>
      <c r="U723" s="205"/>
    </row>
    <row r="724" spans="1:70" x14ac:dyDescent="0.25">
      <c r="A724" s="193">
        <f t="shared" si="66"/>
        <v>702</v>
      </c>
      <c r="B724" s="107">
        <f t="shared" si="64"/>
        <v>242</v>
      </c>
      <c r="C724" s="53" t="s">
        <v>397</v>
      </c>
      <c r="D724" s="53" t="s">
        <v>669</v>
      </c>
      <c r="E724" s="62">
        <f t="shared" si="65"/>
        <v>21093264.575755343</v>
      </c>
      <c r="F724" s="55">
        <v>0</v>
      </c>
      <c r="G724" s="63">
        <v>0</v>
      </c>
      <c r="H724" s="63">
        <v>0</v>
      </c>
      <c r="I724" s="63">
        <v>0</v>
      </c>
      <c r="J724" s="63">
        <v>0</v>
      </c>
      <c r="K724" s="63"/>
      <c r="L724" s="55"/>
      <c r="M724" s="63">
        <v>0</v>
      </c>
      <c r="N724" s="63">
        <v>20690674.18</v>
      </c>
      <c r="O724" s="63">
        <v>0</v>
      </c>
      <c r="P724" s="63">
        <v>0</v>
      </c>
      <c r="Q724" s="63">
        <v>0</v>
      </c>
      <c r="R724" s="63"/>
      <c r="S724" s="63"/>
      <c r="T724" s="64">
        <v>402590.39575534302</v>
      </c>
      <c r="U724" s="205"/>
    </row>
    <row r="725" spans="1:70" x14ac:dyDescent="0.25">
      <c r="A725" s="193">
        <f t="shared" si="66"/>
        <v>703</v>
      </c>
      <c r="B725" s="107">
        <f t="shared" si="64"/>
        <v>243</v>
      </c>
      <c r="C725" s="53" t="s">
        <v>397</v>
      </c>
      <c r="D725" s="53" t="s">
        <v>670</v>
      </c>
      <c r="E725" s="62">
        <f t="shared" si="65"/>
        <v>951471.12648802751</v>
      </c>
      <c r="F725" s="55"/>
      <c r="G725" s="63"/>
      <c r="H725" s="63">
        <v>935865.11</v>
      </c>
      <c r="I725" s="63">
        <v>0</v>
      </c>
      <c r="J725" s="63">
        <v>0</v>
      </c>
      <c r="K725" s="63"/>
      <c r="L725" s="55"/>
      <c r="M725" s="63">
        <v>0</v>
      </c>
      <c r="N725" s="63">
        <v>0</v>
      </c>
      <c r="O725" s="63">
        <v>0</v>
      </c>
      <c r="P725" s="63"/>
      <c r="Q725" s="63">
        <v>0</v>
      </c>
      <c r="R725" s="63"/>
      <c r="S725" s="63"/>
      <c r="T725" s="64">
        <v>15606.016488027501</v>
      </c>
      <c r="U725" s="205"/>
    </row>
    <row r="726" spans="1:70" x14ac:dyDescent="0.25">
      <c r="A726" s="193">
        <f t="shared" si="66"/>
        <v>704</v>
      </c>
      <c r="B726" s="107">
        <f t="shared" si="64"/>
        <v>244</v>
      </c>
      <c r="C726" s="53" t="s">
        <v>397</v>
      </c>
      <c r="D726" s="53" t="s">
        <v>671</v>
      </c>
      <c r="E726" s="62">
        <f t="shared" si="65"/>
        <v>6917016.3592651244</v>
      </c>
      <c r="F726" s="55"/>
      <c r="G726" s="63"/>
      <c r="H726" s="63">
        <v>0</v>
      </c>
      <c r="I726" s="63">
        <v>0</v>
      </c>
      <c r="J726" s="63">
        <v>0</v>
      </c>
      <c r="K726" s="63"/>
      <c r="L726" s="55"/>
      <c r="M726" s="63">
        <v>0</v>
      </c>
      <c r="N726" s="63">
        <v>6651408.9900000002</v>
      </c>
      <c r="O726" s="63">
        <v>0</v>
      </c>
      <c r="P726" s="63"/>
      <c r="Q726" s="63">
        <v>0</v>
      </c>
      <c r="R726" s="63"/>
      <c r="S726" s="63"/>
      <c r="T726" s="64">
        <v>265607.36926512403</v>
      </c>
      <c r="U726" s="205"/>
    </row>
    <row r="727" spans="1:70" x14ac:dyDescent="0.25">
      <c r="A727" s="193">
        <f t="shared" si="66"/>
        <v>705</v>
      </c>
      <c r="B727" s="107">
        <f t="shared" si="64"/>
        <v>245</v>
      </c>
      <c r="C727" s="53" t="s">
        <v>397</v>
      </c>
      <c r="D727" s="107" t="s">
        <v>672</v>
      </c>
      <c r="E727" s="62">
        <f t="shared" si="65"/>
        <v>8854298.596650539</v>
      </c>
      <c r="F727" s="55"/>
      <c r="G727" s="63"/>
      <c r="H727" s="63">
        <v>1419024.89</v>
      </c>
      <c r="I727" s="63">
        <v>0</v>
      </c>
      <c r="J727" s="63">
        <v>0</v>
      </c>
      <c r="K727" s="63"/>
      <c r="L727" s="55"/>
      <c r="M727" s="63">
        <v>0</v>
      </c>
      <c r="N727" s="63">
        <v>7127323.29</v>
      </c>
      <c r="O727" s="63">
        <v>0</v>
      </c>
      <c r="P727" s="63"/>
      <c r="Q727" s="63">
        <v>0</v>
      </c>
      <c r="R727" s="63"/>
      <c r="S727" s="63"/>
      <c r="T727" s="64">
        <v>307950.41665053897</v>
      </c>
      <c r="U727" s="205"/>
    </row>
    <row r="728" spans="1:70" x14ac:dyDescent="0.25">
      <c r="A728" s="193">
        <f t="shared" si="66"/>
        <v>706</v>
      </c>
      <c r="B728" s="107">
        <f t="shared" si="64"/>
        <v>246</v>
      </c>
      <c r="C728" s="53" t="s">
        <v>397</v>
      </c>
      <c r="D728" s="107" t="s">
        <v>493</v>
      </c>
      <c r="E728" s="62">
        <f t="shared" si="65"/>
        <v>3442953.7404099633</v>
      </c>
      <c r="F728" s="55">
        <v>0</v>
      </c>
      <c r="G728" s="63">
        <v>0</v>
      </c>
      <c r="H728" s="63">
        <v>3374225.58</v>
      </c>
      <c r="I728" s="63"/>
      <c r="J728" s="63">
        <v>0</v>
      </c>
      <c r="K728" s="63"/>
      <c r="L728" s="55"/>
      <c r="M728" s="63">
        <v>0</v>
      </c>
      <c r="N728" s="63">
        <v>0</v>
      </c>
      <c r="O728" s="63">
        <v>0</v>
      </c>
      <c r="P728" s="63">
        <v>0</v>
      </c>
      <c r="Q728" s="63">
        <v>0</v>
      </c>
      <c r="R728" s="63"/>
      <c r="S728" s="63"/>
      <c r="T728" s="64">
        <v>68728.160409963093</v>
      </c>
      <c r="U728" s="205"/>
    </row>
    <row r="729" spans="1:70" x14ac:dyDescent="0.25">
      <c r="A729" s="193">
        <f t="shared" si="66"/>
        <v>707</v>
      </c>
      <c r="B729" s="107">
        <f t="shared" si="64"/>
        <v>247</v>
      </c>
      <c r="C729" s="53" t="s">
        <v>397</v>
      </c>
      <c r="D729" s="53" t="s">
        <v>673</v>
      </c>
      <c r="E729" s="62">
        <f t="shared" si="65"/>
        <v>3592563.7737581315</v>
      </c>
      <c r="F729" s="55">
        <v>0</v>
      </c>
      <c r="G729" s="63">
        <v>0</v>
      </c>
      <c r="H729" s="63">
        <v>3521068.21</v>
      </c>
      <c r="I729" s="63">
        <v>0</v>
      </c>
      <c r="J729" s="63">
        <v>0</v>
      </c>
      <c r="K729" s="63"/>
      <c r="L729" s="55"/>
      <c r="M729" s="63">
        <v>0</v>
      </c>
      <c r="N729" s="63">
        <v>0</v>
      </c>
      <c r="O729" s="63">
        <v>0</v>
      </c>
      <c r="P729" s="63">
        <v>0</v>
      </c>
      <c r="Q729" s="63">
        <v>0</v>
      </c>
      <c r="R729" s="63"/>
      <c r="S729" s="63"/>
      <c r="T729" s="64">
        <v>71495.563758131495</v>
      </c>
      <c r="U729" s="205"/>
    </row>
    <row r="730" spans="1:70" x14ac:dyDescent="0.25">
      <c r="A730" s="193">
        <f t="shared" si="66"/>
        <v>708</v>
      </c>
      <c r="B730" s="107">
        <f t="shared" si="64"/>
        <v>248</v>
      </c>
      <c r="C730" s="53" t="s">
        <v>397</v>
      </c>
      <c r="D730" s="107" t="s">
        <v>674</v>
      </c>
      <c r="E730" s="62">
        <f t="shared" si="65"/>
        <v>640276.6</v>
      </c>
      <c r="F730" s="55"/>
      <c r="G730" s="63"/>
      <c r="H730" s="63"/>
      <c r="I730" s="63">
        <v>640276.6</v>
      </c>
      <c r="J730" s="63"/>
      <c r="K730" s="63"/>
      <c r="L730" s="55"/>
      <c r="M730" s="63"/>
      <c r="N730" s="63"/>
      <c r="O730" s="63"/>
      <c r="P730" s="63"/>
      <c r="Q730" s="63"/>
      <c r="R730" s="63"/>
      <c r="S730" s="63"/>
      <c r="T730" s="64"/>
      <c r="U730" s="205"/>
    </row>
    <row r="731" spans="1:70" x14ac:dyDescent="0.25">
      <c r="A731" s="193">
        <f t="shared" si="66"/>
        <v>709</v>
      </c>
      <c r="B731" s="107">
        <f t="shared" ref="B731:B794" si="67">+B730+1</f>
        <v>249</v>
      </c>
      <c r="C731" s="53" t="s">
        <v>397</v>
      </c>
      <c r="D731" s="53" t="s">
        <v>675</v>
      </c>
      <c r="E731" s="62">
        <f t="shared" si="65"/>
        <v>3127146.275568313</v>
      </c>
      <c r="F731" s="55">
        <v>0</v>
      </c>
      <c r="G731" s="63">
        <v>0</v>
      </c>
      <c r="H731" s="63">
        <v>3067621.24</v>
      </c>
      <c r="I731" s="63">
        <v>0</v>
      </c>
      <c r="J731" s="63">
        <v>0</v>
      </c>
      <c r="K731" s="63"/>
      <c r="L731" s="55"/>
      <c r="M731" s="63">
        <v>0</v>
      </c>
      <c r="N731" s="63">
        <v>0</v>
      </c>
      <c r="O731" s="63">
        <v>0</v>
      </c>
      <c r="P731" s="63">
        <v>0</v>
      </c>
      <c r="Q731" s="63">
        <v>0</v>
      </c>
      <c r="R731" s="63"/>
      <c r="S731" s="63"/>
      <c r="T731" s="64">
        <v>59525.035568312902</v>
      </c>
      <c r="U731" s="205"/>
    </row>
    <row r="732" spans="1:70" x14ac:dyDescent="0.25">
      <c r="A732" s="193">
        <f t="shared" si="66"/>
        <v>710</v>
      </c>
      <c r="B732" s="107">
        <f t="shared" si="67"/>
        <v>250</v>
      </c>
      <c r="C732" s="53" t="s">
        <v>397</v>
      </c>
      <c r="D732" s="107" t="s">
        <v>676</v>
      </c>
      <c r="E732" s="62">
        <f t="shared" si="65"/>
        <v>1357157.63</v>
      </c>
      <c r="F732" s="55"/>
      <c r="G732" s="63"/>
      <c r="H732" s="63"/>
      <c r="I732" s="63">
        <v>1357157.63</v>
      </c>
      <c r="J732" s="63"/>
      <c r="K732" s="63"/>
      <c r="L732" s="55"/>
      <c r="M732" s="63"/>
      <c r="N732" s="63"/>
      <c r="O732" s="63"/>
      <c r="P732" s="63"/>
      <c r="Q732" s="63"/>
      <c r="R732" s="63"/>
      <c r="S732" s="63"/>
      <c r="T732" s="64"/>
      <c r="U732" s="205"/>
    </row>
    <row r="733" spans="1:70" x14ac:dyDescent="0.25">
      <c r="A733" s="193">
        <f t="shared" si="66"/>
        <v>711</v>
      </c>
      <c r="B733" s="107">
        <f t="shared" si="67"/>
        <v>251</v>
      </c>
      <c r="C733" s="53" t="s">
        <v>397</v>
      </c>
      <c r="D733" s="107" t="s">
        <v>677</v>
      </c>
      <c r="E733" s="62">
        <f t="shared" si="65"/>
        <v>530132.51</v>
      </c>
      <c r="F733" s="55"/>
      <c r="G733" s="63"/>
      <c r="H733" s="63"/>
      <c r="I733" s="63">
        <v>530132.51</v>
      </c>
      <c r="J733" s="63"/>
      <c r="K733" s="63"/>
      <c r="L733" s="55"/>
      <c r="M733" s="63"/>
      <c r="N733" s="63"/>
      <c r="O733" s="63"/>
      <c r="P733" s="63"/>
      <c r="Q733" s="63"/>
      <c r="R733" s="63"/>
      <c r="S733" s="63"/>
      <c r="T733" s="64"/>
      <c r="U733" s="205"/>
    </row>
    <row r="734" spans="1:70" x14ac:dyDescent="0.25">
      <c r="A734" s="193">
        <f t="shared" si="66"/>
        <v>712</v>
      </c>
      <c r="B734" s="107">
        <f t="shared" si="67"/>
        <v>252</v>
      </c>
      <c r="C734" s="53" t="s">
        <v>212</v>
      </c>
      <c r="D734" s="107" t="s">
        <v>678</v>
      </c>
      <c r="E734" s="62">
        <f t="shared" si="65"/>
        <v>3025771.3497837</v>
      </c>
      <c r="F734" s="55">
        <v>0</v>
      </c>
      <c r="G734" s="63">
        <v>0</v>
      </c>
      <c r="H734" s="63">
        <v>0</v>
      </c>
      <c r="I734" s="63">
        <v>0</v>
      </c>
      <c r="J734" s="63">
        <v>0</v>
      </c>
      <c r="K734" s="63"/>
      <c r="L734" s="55"/>
      <c r="M734" s="63">
        <v>0</v>
      </c>
      <c r="N734" s="63"/>
      <c r="O734" s="63">
        <v>0</v>
      </c>
      <c r="P734" s="63">
        <v>0</v>
      </c>
      <c r="Q734" s="63">
        <v>1825581.15</v>
      </c>
      <c r="R734" s="63"/>
      <c r="S734" s="63"/>
      <c r="T734" s="64">
        <v>1200190.1997837001</v>
      </c>
      <c r="U734" s="205"/>
    </row>
    <row r="735" spans="1:70" x14ac:dyDescent="0.25">
      <c r="A735" s="193">
        <f t="shared" si="66"/>
        <v>713</v>
      </c>
      <c r="B735" s="107">
        <f t="shared" si="67"/>
        <v>253</v>
      </c>
      <c r="C735" s="53" t="s">
        <v>212</v>
      </c>
      <c r="D735" s="53" t="s">
        <v>679</v>
      </c>
      <c r="E735" s="110">
        <f t="shared" si="65"/>
        <v>8070837.2089538332</v>
      </c>
      <c r="F735" s="55">
        <v>7187290.3763408205</v>
      </c>
      <c r="G735" s="63"/>
      <c r="H735" s="63"/>
      <c r="I735" s="63"/>
      <c r="J735" s="63"/>
      <c r="K735" s="63"/>
      <c r="L735" s="55"/>
      <c r="M735" s="63"/>
      <c r="N735" s="63"/>
      <c r="O735" s="63"/>
      <c r="P735" s="63"/>
      <c r="Q735" s="63"/>
      <c r="R735" s="63">
        <v>645666.97671630699</v>
      </c>
      <c r="S735" s="63">
        <v>80708.372089538301</v>
      </c>
      <c r="T735" s="64">
        <v>157171.48380716701</v>
      </c>
      <c r="U735" s="205"/>
    </row>
    <row r="736" spans="1:70" x14ac:dyDescent="0.25">
      <c r="A736" s="193">
        <f t="shared" si="66"/>
        <v>714</v>
      </c>
      <c r="B736" s="107">
        <f t="shared" si="67"/>
        <v>254</v>
      </c>
      <c r="C736" s="53" t="s">
        <v>212</v>
      </c>
      <c r="D736" s="53" t="s">
        <v>681</v>
      </c>
      <c r="E736" s="62">
        <f t="shared" si="65"/>
        <v>1422083.61</v>
      </c>
      <c r="F736" s="55"/>
      <c r="G736" s="63"/>
      <c r="H736" s="63">
        <v>758098.38</v>
      </c>
      <c r="I736" s="63">
        <v>627792.72</v>
      </c>
      <c r="J736" s="63">
        <v>0</v>
      </c>
      <c r="K736" s="63"/>
      <c r="L736" s="55"/>
      <c r="M736" s="63">
        <v>0</v>
      </c>
      <c r="N736" s="63"/>
      <c r="O736" s="63">
        <v>0</v>
      </c>
      <c r="P736" s="63">
        <v>0</v>
      </c>
      <c r="Q736" s="63">
        <v>0</v>
      </c>
      <c r="R736" s="63"/>
      <c r="S736" s="63"/>
      <c r="T736" s="64">
        <v>36192.51</v>
      </c>
      <c r="U736" s="205"/>
    </row>
    <row r="737" spans="1:26" x14ac:dyDescent="0.25">
      <c r="A737" s="193">
        <f t="shared" si="66"/>
        <v>715</v>
      </c>
      <c r="B737" s="107">
        <f t="shared" si="67"/>
        <v>255</v>
      </c>
      <c r="C737" s="53" t="s">
        <v>218</v>
      </c>
      <c r="D737" s="53" t="s">
        <v>402</v>
      </c>
      <c r="E737" s="110">
        <f t="shared" si="65"/>
        <v>2419751.5570574598</v>
      </c>
      <c r="F737" s="55">
        <v>0</v>
      </c>
      <c r="G737" s="63">
        <v>0</v>
      </c>
      <c r="H737" s="63">
        <v>1257942.74</v>
      </c>
      <c r="I737" s="63">
        <v>0</v>
      </c>
      <c r="J737" s="63">
        <v>0</v>
      </c>
      <c r="K737" s="63"/>
      <c r="L737" s="55"/>
      <c r="M737" s="63">
        <v>0</v>
      </c>
      <c r="N737" s="63">
        <v>0</v>
      </c>
      <c r="O737" s="63">
        <v>1041448.45836271</v>
      </c>
      <c r="P737" s="63">
        <v>0</v>
      </c>
      <c r="Q737" s="63"/>
      <c r="R737" s="63"/>
      <c r="S737" s="63"/>
      <c r="T737" s="64">
        <v>120360.35869475</v>
      </c>
      <c r="U737" s="205"/>
    </row>
    <row r="738" spans="1:26" x14ac:dyDescent="0.25">
      <c r="A738" s="193">
        <f t="shared" si="66"/>
        <v>716</v>
      </c>
      <c r="B738" s="107">
        <f t="shared" si="67"/>
        <v>256</v>
      </c>
      <c r="C738" s="53" t="s">
        <v>218</v>
      </c>
      <c r="D738" s="53" t="s">
        <v>682</v>
      </c>
      <c r="E738" s="110">
        <f t="shared" ref="E738:E801" si="68">SUBTOTAL(9, F738:T738)</f>
        <v>6239399.4557414372</v>
      </c>
      <c r="F738" s="55">
        <v>0</v>
      </c>
      <c r="G738" s="63">
        <v>0</v>
      </c>
      <c r="H738" s="63">
        <v>1348975.3697015401</v>
      </c>
      <c r="I738" s="63">
        <v>0</v>
      </c>
      <c r="J738" s="63">
        <v>0</v>
      </c>
      <c r="K738" s="63"/>
      <c r="L738" s="55"/>
      <c r="M738" s="63">
        <v>0</v>
      </c>
      <c r="N738" s="63">
        <v>0</v>
      </c>
      <c r="O738" s="63">
        <v>1047206.52773165</v>
      </c>
      <c r="P738" s="63">
        <v>0</v>
      </c>
      <c r="Q738" s="63">
        <v>3709694.40995538</v>
      </c>
      <c r="R738" s="63"/>
      <c r="S738" s="63"/>
      <c r="T738" s="64">
        <v>133523.14835286699</v>
      </c>
      <c r="U738" s="205"/>
    </row>
    <row r="739" spans="1:26" x14ac:dyDescent="0.25">
      <c r="A739" s="193">
        <f t="shared" ref="A739:A802" si="69">+A738+1</f>
        <v>717</v>
      </c>
      <c r="B739" s="107">
        <f t="shared" si="67"/>
        <v>257</v>
      </c>
      <c r="C739" s="53" t="s">
        <v>218</v>
      </c>
      <c r="D739" s="53" t="s">
        <v>220</v>
      </c>
      <c r="E739" s="110">
        <f t="shared" si="68"/>
        <v>1760606.3303999999</v>
      </c>
      <c r="F739" s="55"/>
      <c r="G739" s="63"/>
      <c r="H739" s="63">
        <v>1722929.35492944</v>
      </c>
      <c r="I739" s="63">
        <v>0</v>
      </c>
      <c r="J739" s="63">
        <v>0</v>
      </c>
      <c r="K739" s="63"/>
      <c r="L739" s="55"/>
      <c r="M739" s="63">
        <v>0</v>
      </c>
      <c r="N739" s="63">
        <v>0</v>
      </c>
      <c r="O739" s="63">
        <v>0</v>
      </c>
      <c r="P739" s="63">
        <v>0</v>
      </c>
      <c r="Q739" s="63">
        <v>0</v>
      </c>
      <c r="R739" s="63"/>
      <c r="S739" s="63"/>
      <c r="T739" s="64">
        <v>37676.975470559999</v>
      </c>
      <c r="U739" s="205"/>
    </row>
    <row r="740" spans="1:26" x14ac:dyDescent="0.25">
      <c r="A740" s="193">
        <f t="shared" si="69"/>
        <v>718</v>
      </c>
      <c r="B740" s="107">
        <f t="shared" si="67"/>
        <v>258</v>
      </c>
      <c r="C740" s="53" t="s">
        <v>218</v>
      </c>
      <c r="D740" s="53" t="s">
        <v>405</v>
      </c>
      <c r="E740" s="110">
        <f t="shared" si="68"/>
        <v>1422052.0302640297</v>
      </c>
      <c r="F740" s="55"/>
      <c r="G740" s="63"/>
      <c r="H740" s="63"/>
      <c r="I740" s="63"/>
      <c r="J740" s="63">
        <v>0</v>
      </c>
      <c r="K740" s="63"/>
      <c r="L740" s="55"/>
      <c r="M740" s="63"/>
      <c r="N740" s="63"/>
      <c r="O740" s="63">
        <v>1055928.3092757899</v>
      </c>
      <c r="P740" s="63">
        <v>0</v>
      </c>
      <c r="Q740" s="63"/>
      <c r="R740" s="63"/>
      <c r="S740" s="63"/>
      <c r="T740" s="64">
        <v>366123.72098823998</v>
      </c>
      <c r="U740" s="205"/>
    </row>
    <row r="741" spans="1:26" x14ac:dyDescent="0.25">
      <c r="A741" s="193">
        <f t="shared" si="69"/>
        <v>719</v>
      </c>
      <c r="B741" s="107">
        <f t="shared" si="67"/>
        <v>259</v>
      </c>
      <c r="C741" s="53" t="s">
        <v>218</v>
      </c>
      <c r="D741" s="107" t="s">
        <v>406</v>
      </c>
      <c r="E741" s="110">
        <f t="shared" si="68"/>
        <v>20530684.390675008</v>
      </c>
      <c r="F741" s="55"/>
      <c r="G741" s="63">
        <v>3463441.07</v>
      </c>
      <c r="H741" s="63"/>
      <c r="I741" s="63">
        <v>1837700.68</v>
      </c>
      <c r="J741" s="63">
        <v>0</v>
      </c>
      <c r="K741" s="63"/>
      <c r="L741" s="55"/>
      <c r="M741" s="63">
        <v>0</v>
      </c>
      <c r="N741" s="63">
        <v>14114583.41</v>
      </c>
      <c r="O741" s="63">
        <v>0</v>
      </c>
      <c r="P741" s="63"/>
      <c r="Q741" s="63"/>
      <c r="R741" s="63"/>
      <c r="S741" s="63"/>
      <c r="T741" s="64">
        <v>1114959.23067501</v>
      </c>
      <c r="U741" s="205"/>
    </row>
    <row r="742" spans="1:26" x14ac:dyDescent="0.25">
      <c r="A742" s="193">
        <f t="shared" si="69"/>
        <v>720</v>
      </c>
      <c r="B742" s="107">
        <f t="shared" si="67"/>
        <v>260</v>
      </c>
      <c r="C742" s="53" t="s">
        <v>218</v>
      </c>
      <c r="D742" s="53" t="s">
        <v>221</v>
      </c>
      <c r="E742" s="110">
        <f t="shared" si="68"/>
        <v>11246166.055497708</v>
      </c>
      <c r="F742" s="55"/>
      <c r="G742" s="63"/>
      <c r="H742" s="63">
        <v>1168117.9829516399</v>
      </c>
      <c r="I742" s="63"/>
      <c r="J742" s="63"/>
      <c r="K742" s="63"/>
      <c r="L742" s="55"/>
      <c r="M742" s="63">
        <v>0</v>
      </c>
      <c r="N742" s="63">
        <v>9903375.0399999991</v>
      </c>
      <c r="O742" s="63">
        <v>0</v>
      </c>
      <c r="P742" s="63"/>
      <c r="Q742" s="63"/>
      <c r="R742" s="63"/>
      <c r="S742" s="63"/>
      <c r="T742" s="64">
        <v>174673.03254607</v>
      </c>
      <c r="U742" s="205"/>
    </row>
    <row r="743" spans="1:26" x14ac:dyDescent="0.25">
      <c r="A743" s="193">
        <f t="shared" si="69"/>
        <v>721</v>
      </c>
      <c r="B743" s="107">
        <f t="shared" si="67"/>
        <v>261</v>
      </c>
      <c r="C743" s="53" t="s">
        <v>218</v>
      </c>
      <c r="D743" s="53" t="s">
        <v>409</v>
      </c>
      <c r="E743" s="110">
        <f t="shared" si="68"/>
        <v>6552225.7929076385</v>
      </c>
      <c r="F743" s="55">
        <v>5046463.3</v>
      </c>
      <c r="G743" s="63"/>
      <c r="H743" s="63">
        <v>1158436.1099060399</v>
      </c>
      <c r="I743" s="63"/>
      <c r="J743" s="63">
        <v>0</v>
      </c>
      <c r="K743" s="63"/>
      <c r="L743" s="55">
        <v>110892.17747328</v>
      </c>
      <c r="M743" s="63">
        <v>0</v>
      </c>
      <c r="N743" s="63"/>
      <c r="O743" s="63">
        <v>0</v>
      </c>
      <c r="P743" s="63"/>
      <c r="Q743" s="63"/>
      <c r="R743" s="63"/>
      <c r="S743" s="63"/>
      <c r="T743" s="64">
        <v>236434.205528319</v>
      </c>
      <c r="U743" s="205"/>
    </row>
    <row r="744" spans="1:26" x14ac:dyDescent="0.25">
      <c r="A744" s="193">
        <f t="shared" si="69"/>
        <v>722</v>
      </c>
      <c r="B744" s="107">
        <f t="shared" si="67"/>
        <v>262</v>
      </c>
      <c r="C744" s="53" t="s">
        <v>218</v>
      </c>
      <c r="D744" s="53" t="s">
        <v>410</v>
      </c>
      <c r="E744" s="110">
        <f t="shared" si="68"/>
        <v>17506318.570491999</v>
      </c>
      <c r="F744" s="55">
        <v>3583619.264736</v>
      </c>
      <c r="G744" s="63">
        <v>2218742.4464099999</v>
      </c>
      <c r="H744" s="63">
        <v>1040167.914408</v>
      </c>
      <c r="I744" s="63">
        <v>906414.55938600004</v>
      </c>
      <c r="J744" s="63">
        <v>0</v>
      </c>
      <c r="K744" s="63"/>
      <c r="L744" s="55">
        <v>312478.894455</v>
      </c>
      <c r="M744" s="63">
        <v>0</v>
      </c>
      <c r="N744" s="63"/>
      <c r="O744" s="63">
        <v>0</v>
      </c>
      <c r="P744" s="63">
        <v>8671328.1752160005</v>
      </c>
      <c r="Q744" s="63"/>
      <c r="R744" s="63"/>
      <c r="S744" s="63"/>
      <c r="T744" s="64">
        <v>773567.31588100002</v>
      </c>
      <c r="U744" s="205"/>
    </row>
    <row r="745" spans="1:26" x14ac:dyDescent="0.25">
      <c r="A745" s="193">
        <f t="shared" si="69"/>
        <v>723</v>
      </c>
      <c r="B745" s="107">
        <f t="shared" si="67"/>
        <v>263</v>
      </c>
      <c r="C745" s="53" t="s">
        <v>218</v>
      </c>
      <c r="D745" s="53" t="s">
        <v>411</v>
      </c>
      <c r="E745" s="110">
        <f t="shared" si="68"/>
        <v>17678996.127494</v>
      </c>
      <c r="F745" s="55">
        <v>3617984.0269860001</v>
      </c>
      <c r="G745" s="63">
        <v>2231790.3844320001</v>
      </c>
      <c r="H745" s="63">
        <v>1050168.4431</v>
      </c>
      <c r="I745" s="63">
        <v>912769.65628800006</v>
      </c>
      <c r="J745" s="63">
        <v>0</v>
      </c>
      <c r="K745" s="63"/>
      <c r="L745" s="55">
        <v>315453.97193603998</v>
      </c>
      <c r="M745" s="63">
        <v>0</v>
      </c>
      <c r="N745" s="63"/>
      <c r="O745" s="63">
        <v>0</v>
      </c>
      <c r="P745" s="63">
        <v>8769141.9461519998</v>
      </c>
      <c r="Q745" s="63"/>
      <c r="R745" s="63"/>
      <c r="S745" s="63"/>
      <c r="T745" s="64">
        <v>781687.69859995996</v>
      </c>
      <c r="U745" s="205"/>
    </row>
    <row r="746" spans="1:26" x14ac:dyDescent="0.25">
      <c r="A746" s="193">
        <f t="shared" si="69"/>
        <v>724</v>
      </c>
      <c r="B746" s="107">
        <f t="shared" si="67"/>
        <v>264</v>
      </c>
      <c r="C746" s="53" t="s">
        <v>218</v>
      </c>
      <c r="D746" s="53" t="s">
        <v>683</v>
      </c>
      <c r="E746" s="110">
        <f t="shared" si="68"/>
        <v>19313313.5727886</v>
      </c>
      <c r="F746" s="55">
        <v>3823646.793114</v>
      </c>
      <c r="G746" s="63">
        <v>1377432.691104</v>
      </c>
      <c r="H746" s="63">
        <v>1464223.795434</v>
      </c>
      <c r="I746" s="63">
        <v>926339.45652600005</v>
      </c>
      <c r="J746" s="63">
        <v>0</v>
      </c>
      <c r="K746" s="63"/>
      <c r="L746" s="55">
        <v>129828.307854</v>
      </c>
      <c r="M746" s="63">
        <v>0</v>
      </c>
      <c r="N746" s="63">
        <v>7205871.6359639997</v>
      </c>
      <c r="O746" s="63"/>
      <c r="P746" s="63"/>
      <c r="Q746" s="63">
        <v>4008332.6726939999</v>
      </c>
      <c r="R746" s="63"/>
      <c r="S746" s="63"/>
      <c r="T746" s="64">
        <v>377638.22009860002</v>
      </c>
      <c r="U746" s="205"/>
    </row>
    <row r="747" spans="1:26" x14ac:dyDescent="0.25">
      <c r="A747" s="193">
        <f t="shared" si="69"/>
        <v>725</v>
      </c>
      <c r="B747" s="107">
        <f t="shared" si="67"/>
        <v>265</v>
      </c>
      <c r="C747" s="53" t="s">
        <v>218</v>
      </c>
      <c r="D747" s="53" t="s">
        <v>684</v>
      </c>
      <c r="E747" s="110">
        <f t="shared" si="68"/>
        <v>46230178.072141841</v>
      </c>
      <c r="F747" s="55">
        <v>9150018.9223740008</v>
      </c>
      <c r="G747" s="63">
        <v>3322771.2370799999</v>
      </c>
      <c r="H747" s="63">
        <v>3507760.1149860001</v>
      </c>
      <c r="I747" s="63">
        <v>2240831.5174500002</v>
      </c>
      <c r="J747" s="63">
        <v>0</v>
      </c>
      <c r="K747" s="63"/>
      <c r="L747" s="55">
        <v>308956.957092</v>
      </c>
      <c r="M747" s="63">
        <v>0</v>
      </c>
      <c r="N747" s="63">
        <v>17090431.012026001</v>
      </c>
      <c r="O747" s="63"/>
      <c r="P747" s="63"/>
      <c r="Q747" s="63">
        <v>9620247.9809520002</v>
      </c>
      <c r="R747" s="63"/>
      <c r="S747" s="63"/>
      <c r="T747" s="64">
        <v>989160.33018183999</v>
      </c>
      <c r="U747" s="205"/>
    </row>
    <row r="748" spans="1:26" x14ac:dyDescent="0.25">
      <c r="A748" s="193">
        <f t="shared" si="69"/>
        <v>726</v>
      </c>
      <c r="B748" s="107">
        <f t="shared" si="67"/>
        <v>266</v>
      </c>
      <c r="C748" s="53" t="s">
        <v>218</v>
      </c>
      <c r="D748" s="53" t="s">
        <v>412</v>
      </c>
      <c r="E748" s="110">
        <f t="shared" si="68"/>
        <v>42193452.907454319</v>
      </c>
      <c r="F748" s="55">
        <v>10537075.366257999</v>
      </c>
      <c r="G748" s="63">
        <v>3835013.4758319999</v>
      </c>
      <c r="H748" s="63">
        <v>4042843.3866099999</v>
      </c>
      <c r="I748" s="63">
        <v>2587058.6111860001</v>
      </c>
      <c r="J748" s="63">
        <v>0</v>
      </c>
      <c r="K748" s="63"/>
      <c r="L748" s="55">
        <v>355628.19171599997</v>
      </c>
      <c r="M748" s="63">
        <v>0</v>
      </c>
      <c r="N748" s="63">
        <v>19695633.831831999</v>
      </c>
      <c r="O748" s="63"/>
      <c r="P748" s="63"/>
      <c r="Q748" s="63"/>
      <c r="R748" s="63"/>
      <c r="S748" s="63"/>
      <c r="T748" s="64">
        <v>1140200.0440203201</v>
      </c>
      <c r="U748" s="205"/>
    </row>
    <row r="749" spans="1:26" x14ac:dyDescent="0.25">
      <c r="A749" s="193">
        <f t="shared" si="69"/>
        <v>727</v>
      </c>
      <c r="B749" s="107">
        <f t="shared" si="67"/>
        <v>267</v>
      </c>
      <c r="C749" s="53" t="s">
        <v>218</v>
      </c>
      <c r="D749" s="53" t="s">
        <v>413</v>
      </c>
      <c r="E749" s="62">
        <f t="shared" si="68"/>
        <v>2326647.4499713201</v>
      </c>
      <c r="F749" s="55"/>
      <c r="G749" s="63">
        <v>450967.71</v>
      </c>
      <c r="H749" s="63">
        <v>970374.21133800002</v>
      </c>
      <c r="I749" s="63">
        <v>341058.14</v>
      </c>
      <c r="J749" s="63">
        <v>0</v>
      </c>
      <c r="K749" s="63"/>
      <c r="L749" s="55"/>
      <c r="M749" s="63">
        <v>0</v>
      </c>
      <c r="N749" s="63"/>
      <c r="O749" s="63">
        <v>0</v>
      </c>
      <c r="P749" s="63"/>
      <c r="Q749" s="63">
        <v>283215.94</v>
      </c>
      <c r="R749" s="63"/>
      <c r="S749" s="63"/>
      <c r="T749" s="64">
        <v>281031.44863331999</v>
      </c>
      <c r="U749" s="205"/>
      <c r="Z749" s="136"/>
    </row>
    <row r="750" spans="1:26" x14ac:dyDescent="0.25">
      <c r="A750" s="193">
        <f t="shared" si="69"/>
        <v>728</v>
      </c>
      <c r="B750" s="107">
        <f t="shared" si="67"/>
        <v>268</v>
      </c>
      <c r="C750" s="53" t="s">
        <v>218</v>
      </c>
      <c r="D750" s="53" t="s">
        <v>414</v>
      </c>
      <c r="E750" s="110">
        <f t="shared" si="68"/>
        <v>16927583.7936664</v>
      </c>
      <c r="F750" s="55">
        <v>3347005.1922761998</v>
      </c>
      <c r="G750" s="63">
        <v>2036602.79352348</v>
      </c>
      <c r="H750" s="63">
        <v>959676.47271510004</v>
      </c>
      <c r="I750" s="63">
        <v>837192.48</v>
      </c>
      <c r="J750" s="63">
        <v>0</v>
      </c>
      <c r="K750" s="63"/>
      <c r="L750" s="55">
        <v>317258.01868739998</v>
      </c>
      <c r="M750" s="63">
        <v>0</v>
      </c>
      <c r="N750" s="63"/>
      <c r="O750" s="63">
        <v>0</v>
      </c>
      <c r="P750" s="63">
        <v>8718532.2200000007</v>
      </c>
      <c r="Q750" s="63"/>
      <c r="R750" s="63"/>
      <c r="S750" s="63"/>
      <c r="T750" s="64">
        <v>711316.61646421999</v>
      </c>
      <c r="U750" s="205"/>
    </row>
    <row r="751" spans="1:26" x14ac:dyDescent="0.25">
      <c r="A751" s="193">
        <f t="shared" si="69"/>
        <v>729</v>
      </c>
      <c r="B751" s="107">
        <f t="shared" si="67"/>
        <v>269</v>
      </c>
      <c r="C751" s="53" t="s">
        <v>218</v>
      </c>
      <c r="D751" s="53" t="s">
        <v>685</v>
      </c>
      <c r="E751" s="110">
        <f t="shared" si="68"/>
        <v>8542100</v>
      </c>
      <c r="F751" s="55"/>
      <c r="G751" s="63"/>
      <c r="H751" s="63"/>
      <c r="I751" s="63"/>
      <c r="J751" s="63"/>
      <c r="K751" s="63"/>
      <c r="L751" s="55"/>
      <c r="M751" s="63">
        <v>8024927.0976</v>
      </c>
      <c r="N751" s="63"/>
      <c r="O751" s="63"/>
      <c r="P751" s="63"/>
      <c r="Q751" s="63"/>
      <c r="R751" s="63">
        <v>256263</v>
      </c>
      <c r="S751" s="63">
        <v>85421</v>
      </c>
      <c r="T751" s="64">
        <v>175488.90239999999</v>
      </c>
      <c r="U751" s="205"/>
      <c r="V751" s="6"/>
    </row>
    <row r="752" spans="1:26" x14ac:dyDescent="0.25">
      <c r="A752" s="193">
        <f t="shared" si="69"/>
        <v>730</v>
      </c>
      <c r="B752" s="107">
        <f t="shared" si="67"/>
        <v>270</v>
      </c>
      <c r="C752" s="53" t="s">
        <v>218</v>
      </c>
      <c r="D752" s="107" t="s">
        <v>222</v>
      </c>
      <c r="E752" s="110">
        <f t="shared" si="68"/>
        <v>6596891.8196853176</v>
      </c>
      <c r="F752" s="55">
        <v>3852549.3967092801</v>
      </c>
      <c r="G752" s="63"/>
      <c r="H752" s="63">
        <v>1437441.799164</v>
      </c>
      <c r="I752" s="63"/>
      <c r="J752" s="63">
        <v>0</v>
      </c>
      <c r="K752" s="63"/>
      <c r="L752" s="55">
        <v>124822.049583</v>
      </c>
      <c r="M752" s="63">
        <v>0</v>
      </c>
      <c r="N752" s="63">
        <v>393320.57</v>
      </c>
      <c r="O752" s="63"/>
      <c r="P752" s="63"/>
      <c r="Q752" s="63">
        <v>406759.99</v>
      </c>
      <c r="R752" s="63"/>
      <c r="S752" s="63"/>
      <c r="T752" s="64">
        <v>381998.01422903698</v>
      </c>
      <c r="U752" s="205"/>
      <c r="V752" s="75"/>
    </row>
    <row r="753" spans="1:22" x14ac:dyDescent="0.25">
      <c r="A753" s="193">
        <f t="shared" si="69"/>
        <v>731</v>
      </c>
      <c r="B753" s="107">
        <f t="shared" si="67"/>
        <v>271</v>
      </c>
      <c r="C753" s="53" t="s">
        <v>218</v>
      </c>
      <c r="D753" s="53" t="s">
        <v>416</v>
      </c>
      <c r="E753" s="110">
        <f t="shared" si="68"/>
        <v>6647943.4716644604</v>
      </c>
      <c r="F753" s="55">
        <v>3833460.14</v>
      </c>
      <c r="G753" s="63">
        <v>1375290.94</v>
      </c>
      <c r="H753" s="63"/>
      <c r="I753" s="63">
        <v>929211.97</v>
      </c>
      <c r="J753" s="63">
        <v>0</v>
      </c>
      <c r="K753" s="63"/>
      <c r="L753" s="55">
        <v>120530.94592896001</v>
      </c>
      <c r="M753" s="63">
        <v>0</v>
      </c>
      <c r="N753" s="63"/>
      <c r="O753" s="63">
        <v>0</v>
      </c>
      <c r="P753" s="63">
        <v>0</v>
      </c>
      <c r="Q753" s="63"/>
      <c r="R753" s="63"/>
      <c r="S753" s="63"/>
      <c r="T753" s="64">
        <v>389449.47573549999</v>
      </c>
      <c r="U753" s="205"/>
    </row>
    <row r="754" spans="1:22" x14ac:dyDescent="0.25">
      <c r="A754" s="193">
        <f t="shared" si="69"/>
        <v>732</v>
      </c>
      <c r="B754" s="107">
        <f t="shared" si="67"/>
        <v>272</v>
      </c>
      <c r="C754" s="53" t="s">
        <v>218</v>
      </c>
      <c r="D754" s="53" t="s">
        <v>223</v>
      </c>
      <c r="E754" s="110">
        <f t="shared" si="68"/>
        <v>5055276.9467048002</v>
      </c>
      <c r="F754" s="55">
        <v>2968725.2</v>
      </c>
      <c r="G754" s="63">
        <v>0</v>
      </c>
      <c r="H754" s="63"/>
      <c r="I754" s="63"/>
      <c r="J754" s="63">
        <v>0</v>
      </c>
      <c r="K754" s="63"/>
      <c r="L754" s="55">
        <v>227878.8628032</v>
      </c>
      <c r="M754" s="63">
        <v>0</v>
      </c>
      <c r="N754" s="63">
        <v>227029.93</v>
      </c>
      <c r="O754" s="63">
        <v>0</v>
      </c>
      <c r="P754" s="63"/>
      <c r="Q754" s="63">
        <v>1428913.34</v>
      </c>
      <c r="R754" s="63"/>
      <c r="S754" s="63"/>
      <c r="T754" s="64">
        <v>202729.61390160001</v>
      </c>
      <c r="U754" s="205"/>
    </row>
    <row r="755" spans="1:22" x14ac:dyDescent="0.25">
      <c r="A755" s="193">
        <f t="shared" si="69"/>
        <v>733</v>
      </c>
      <c r="B755" s="107">
        <f t="shared" si="67"/>
        <v>273</v>
      </c>
      <c r="C755" s="53" t="s">
        <v>218</v>
      </c>
      <c r="D755" s="53" t="s">
        <v>687</v>
      </c>
      <c r="E755" s="110">
        <f t="shared" si="68"/>
        <v>21943518.950173158</v>
      </c>
      <c r="F755" s="55"/>
      <c r="G755" s="63"/>
      <c r="H755" s="63"/>
      <c r="I755" s="63"/>
      <c r="J755" s="63"/>
      <c r="K755" s="63"/>
      <c r="L755" s="55"/>
      <c r="M755" s="63"/>
      <c r="N755" s="63">
        <v>19326534.880175501</v>
      </c>
      <c r="O755" s="63">
        <v>0</v>
      </c>
      <c r="P755" s="63">
        <v>0</v>
      </c>
      <c r="Q755" s="63">
        <v>0</v>
      </c>
      <c r="R755" s="63">
        <v>1974916.70551559</v>
      </c>
      <c r="S755" s="63">
        <v>219435.18950173201</v>
      </c>
      <c r="T755" s="64">
        <v>422632.17498033599</v>
      </c>
      <c r="U755" s="205"/>
    </row>
    <row r="756" spans="1:22" x14ac:dyDescent="0.25">
      <c r="A756" s="193">
        <f t="shared" si="69"/>
        <v>734</v>
      </c>
      <c r="B756" s="107">
        <f t="shared" si="67"/>
        <v>274</v>
      </c>
      <c r="C756" s="53" t="s">
        <v>224</v>
      </c>
      <c r="D756" s="53" t="s">
        <v>688</v>
      </c>
      <c r="E756" s="110">
        <f t="shared" si="68"/>
        <v>24641314.833105613</v>
      </c>
      <c r="F756" s="55">
        <v>11569017.9163022</v>
      </c>
      <c r="G756" s="63">
        <v>0</v>
      </c>
      <c r="H756" s="63">
        <v>0</v>
      </c>
      <c r="I756" s="63">
        <v>0</v>
      </c>
      <c r="J756" s="63">
        <v>0</v>
      </c>
      <c r="K756" s="63"/>
      <c r="L756" s="55">
        <v>381912.63386907103</v>
      </c>
      <c r="M756" s="63">
        <v>0</v>
      </c>
      <c r="N756" s="63">
        <v>0</v>
      </c>
      <c r="O756" s="63">
        <v>0</v>
      </c>
      <c r="P756" s="63">
        <v>0</v>
      </c>
      <c r="Q756" s="63">
        <v>12188783.1560285</v>
      </c>
      <c r="R756" s="63"/>
      <c r="S756" s="63"/>
      <c r="T756" s="64">
        <v>501601.12690584001</v>
      </c>
      <c r="U756" s="205"/>
    </row>
    <row r="757" spans="1:22" x14ac:dyDescent="0.25">
      <c r="A757" s="193">
        <f t="shared" si="69"/>
        <v>735</v>
      </c>
      <c r="B757" s="107">
        <f t="shared" si="67"/>
        <v>275</v>
      </c>
      <c r="C757" s="53" t="s">
        <v>224</v>
      </c>
      <c r="D757" s="53" t="s">
        <v>689</v>
      </c>
      <c r="E757" s="110">
        <f t="shared" si="68"/>
        <v>7941122.6666206997</v>
      </c>
      <c r="F757" s="55"/>
      <c r="G757" s="63"/>
      <c r="H757" s="63">
        <v>436138.45</v>
      </c>
      <c r="I757" s="63">
        <v>1875411.59</v>
      </c>
      <c r="J757" s="63">
        <v>0</v>
      </c>
      <c r="K757" s="63"/>
      <c r="L757" s="55"/>
      <c r="M757" s="63">
        <v>0</v>
      </c>
      <c r="N757" s="63"/>
      <c r="O757" s="63">
        <v>0</v>
      </c>
      <c r="P757" s="63"/>
      <c r="Q757" s="63">
        <v>5516769.3499999996</v>
      </c>
      <c r="R757" s="63"/>
      <c r="S757" s="63"/>
      <c r="T757" s="64">
        <v>112803.27662069999</v>
      </c>
      <c r="U757" s="205"/>
    </row>
    <row r="758" spans="1:22" x14ac:dyDescent="0.25">
      <c r="A758" s="193">
        <f t="shared" si="69"/>
        <v>736</v>
      </c>
      <c r="B758" s="107">
        <f t="shared" si="67"/>
        <v>276</v>
      </c>
      <c r="C758" s="53" t="s">
        <v>224</v>
      </c>
      <c r="D758" s="53" t="s">
        <v>690</v>
      </c>
      <c r="E758" s="110">
        <f t="shared" si="68"/>
        <v>8542100</v>
      </c>
      <c r="F758" s="55"/>
      <c r="G758" s="63"/>
      <c r="H758" s="63"/>
      <c r="I758" s="63"/>
      <c r="J758" s="63"/>
      <c r="K758" s="63"/>
      <c r="L758" s="55"/>
      <c r="M758" s="63">
        <v>8024927.0976</v>
      </c>
      <c r="N758" s="63"/>
      <c r="O758" s="63"/>
      <c r="P758" s="63"/>
      <c r="Q758" s="63"/>
      <c r="R758" s="63">
        <v>256263</v>
      </c>
      <c r="S758" s="63">
        <v>85421</v>
      </c>
      <c r="T758" s="64">
        <v>175488.90239999999</v>
      </c>
      <c r="U758" s="205"/>
    </row>
    <row r="759" spans="1:22" x14ac:dyDescent="0.25">
      <c r="A759" s="193">
        <f t="shared" si="69"/>
        <v>737</v>
      </c>
      <c r="B759" s="107">
        <f t="shared" si="67"/>
        <v>277</v>
      </c>
      <c r="C759" s="53" t="s">
        <v>224</v>
      </c>
      <c r="D759" s="53" t="s">
        <v>691</v>
      </c>
      <c r="E759" s="110">
        <f t="shared" si="68"/>
        <v>13997623.099124001</v>
      </c>
      <c r="F759" s="55"/>
      <c r="G759" s="63"/>
      <c r="H759" s="63">
        <v>5455523.0991240004</v>
      </c>
      <c r="I759" s="63"/>
      <c r="J759" s="63"/>
      <c r="K759" s="63"/>
      <c r="L759" s="55"/>
      <c r="M759" s="63">
        <v>8024927.0976</v>
      </c>
      <c r="N759" s="63"/>
      <c r="O759" s="63"/>
      <c r="P759" s="63"/>
      <c r="Q759" s="63"/>
      <c r="R759" s="63">
        <v>256263</v>
      </c>
      <c r="S759" s="63">
        <v>85421</v>
      </c>
      <c r="T759" s="64">
        <v>175488.90239999999</v>
      </c>
      <c r="U759" s="205"/>
    </row>
    <row r="760" spans="1:22" x14ac:dyDescent="0.25">
      <c r="A760" s="193">
        <f t="shared" si="69"/>
        <v>738</v>
      </c>
      <c r="B760" s="107">
        <f t="shared" si="67"/>
        <v>278</v>
      </c>
      <c r="C760" s="53" t="s">
        <v>224</v>
      </c>
      <c r="D760" s="53" t="s">
        <v>417</v>
      </c>
      <c r="E760" s="110">
        <f t="shared" si="68"/>
        <v>50908301.768257476</v>
      </c>
      <c r="F760" s="55">
        <v>18516250.1895798</v>
      </c>
      <c r="G760" s="63">
        <v>12707765.9897027</v>
      </c>
      <c r="H760" s="63"/>
      <c r="I760" s="63">
        <v>7854168.2699999996</v>
      </c>
      <c r="J760" s="63">
        <v>0</v>
      </c>
      <c r="K760" s="63"/>
      <c r="L760" s="55">
        <v>890798.91763439798</v>
      </c>
      <c r="M760" s="63">
        <v>8024927.0976</v>
      </c>
      <c r="N760" s="63">
        <v>0</v>
      </c>
      <c r="O760" s="63">
        <v>0</v>
      </c>
      <c r="P760" s="63"/>
      <c r="Q760" s="63">
        <v>0</v>
      </c>
      <c r="R760" s="63"/>
      <c r="S760" s="63"/>
      <c r="T760" s="64">
        <v>2914391.3037405801</v>
      </c>
      <c r="U760" s="205"/>
      <c r="V760" s="136"/>
    </row>
    <row r="761" spans="1:22" x14ac:dyDescent="0.25">
      <c r="A761" s="193">
        <f t="shared" si="69"/>
        <v>739</v>
      </c>
      <c r="B761" s="107">
        <f t="shared" si="67"/>
        <v>279</v>
      </c>
      <c r="C761" s="53" t="s">
        <v>224</v>
      </c>
      <c r="D761" s="107" t="s">
        <v>227</v>
      </c>
      <c r="E761" s="62">
        <f t="shared" si="68"/>
        <v>17478082.7808831</v>
      </c>
      <c r="F761" s="55">
        <v>13963940.4881831</v>
      </c>
      <c r="G761" s="63"/>
      <c r="H761" s="63"/>
      <c r="I761" s="63"/>
      <c r="J761" s="63">
        <v>0</v>
      </c>
      <c r="K761" s="63"/>
      <c r="L761" s="55">
        <v>671777.6317728</v>
      </c>
      <c r="M761" s="63">
        <v>0</v>
      </c>
      <c r="N761" s="63"/>
      <c r="O761" s="63">
        <v>0</v>
      </c>
      <c r="P761" s="63"/>
      <c r="Q761" s="63"/>
      <c r="R761" s="63"/>
      <c r="S761" s="63"/>
      <c r="T761" s="64">
        <v>2842364.6609272002</v>
      </c>
      <c r="U761" s="205"/>
    </row>
    <row r="762" spans="1:22" x14ac:dyDescent="0.25">
      <c r="A762" s="193">
        <f t="shared" si="69"/>
        <v>740</v>
      </c>
      <c r="B762" s="107">
        <f t="shared" si="67"/>
        <v>280</v>
      </c>
      <c r="C762" s="53" t="s">
        <v>224</v>
      </c>
      <c r="D762" s="53" t="s">
        <v>692</v>
      </c>
      <c r="E762" s="62">
        <f t="shared" si="68"/>
        <v>14592894.3048</v>
      </c>
      <c r="F762" s="55">
        <v>4695224.6562059997</v>
      </c>
      <c r="G762" s="63">
        <v>3264310.7159879999</v>
      </c>
      <c r="H762" s="63">
        <v>1988887.4398680001</v>
      </c>
      <c r="I762" s="63">
        <v>1830087.6300840001</v>
      </c>
      <c r="J762" s="63">
        <v>0</v>
      </c>
      <c r="K762" s="63"/>
      <c r="L762" s="55">
        <v>209268.31068528001</v>
      </c>
      <c r="M762" s="63">
        <v>0</v>
      </c>
      <c r="N762" s="63">
        <v>2292827.6138459998</v>
      </c>
      <c r="O762" s="63">
        <v>0</v>
      </c>
      <c r="P762" s="63">
        <v>0</v>
      </c>
      <c r="Q762" s="63">
        <v>0</v>
      </c>
      <c r="R762" s="63"/>
      <c r="S762" s="63"/>
      <c r="T762" s="64">
        <v>312287.93812271999</v>
      </c>
      <c r="U762" s="205"/>
    </row>
    <row r="763" spans="1:22" x14ac:dyDescent="0.25">
      <c r="A763" s="193">
        <f t="shared" si="69"/>
        <v>741</v>
      </c>
      <c r="B763" s="107">
        <f t="shared" si="67"/>
        <v>281</v>
      </c>
      <c r="C763" s="53" t="s">
        <v>224</v>
      </c>
      <c r="D763" s="53" t="s">
        <v>693</v>
      </c>
      <c r="E763" s="110">
        <f t="shared" si="68"/>
        <v>2454764.3058759999</v>
      </c>
      <c r="F763" s="55">
        <v>0</v>
      </c>
      <c r="G763" s="63">
        <v>0</v>
      </c>
      <c r="H763" s="63">
        <v>0</v>
      </c>
      <c r="I763" s="63">
        <v>0</v>
      </c>
      <c r="J763" s="63">
        <v>0</v>
      </c>
      <c r="K763" s="63"/>
      <c r="L763" s="55"/>
      <c r="M763" s="63">
        <v>0</v>
      </c>
      <c r="N763" s="63">
        <v>2405433.04</v>
      </c>
      <c r="O763" s="63">
        <v>0</v>
      </c>
      <c r="P763" s="63">
        <v>0</v>
      </c>
      <c r="Q763" s="63">
        <v>0</v>
      </c>
      <c r="R763" s="63"/>
      <c r="S763" s="63"/>
      <c r="T763" s="64">
        <v>49331.265875999998</v>
      </c>
      <c r="U763" s="205"/>
    </row>
    <row r="764" spans="1:22" x14ac:dyDescent="0.25">
      <c r="A764" s="193">
        <f t="shared" si="69"/>
        <v>742</v>
      </c>
      <c r="B764" s="107">
        <f t="shared" si="67"/>
        <v>282</v>
      </c>
      <c r="C764" s="53" t="s">
        <v>224</v>
      </c>
      <c r="D764" s="53" t="s">
        <v>694</v>
      </c>
      <c r="E764" s="62">
        <f t="shared" si="68"/>
        <v>2471396.1</v>
      </c>
      <c r="F764" s="55">
        <v>0</v>
      </c>
      <c r="G764" s="63">
        <v>0</v>
      </c>
      <c r="H764" s="63">
        <v>0</v>
      </c>
      <c r="I764" s="63">
        <v>0</v>
      </c>
      <c r="J764" s="63">
        <v>0</v>
      </c>
      <c r="K764" s="63"/>
      <c r="L764" s="55"/>
      <c r="M764" s="63">
        <v>0</v>
      </c>
      <c r="N764" s="63">
        <v>2418508.22346</v>
      </c>
      <c r="O764" s="63">
        <v>0</v>
      </c>
      <c r="P764" s="63">
        <v>0</v>
      </c>
      <c r="Q764" s="63">
        <v>0</v>
      </c>
      <c r="R764" s="63"/>
      <c r="S764" s="63"/>
      <c r="T764" s="64">
        <v>52887.876539999997</v>
      </c>
      <c r="U764" s="205"/>
    </row>
    <row r="765" spans="1:22" x14ac:dyDescent="0.25">
      <c r="A765" s="193">
        <f t="shared" si="69"/>
        <v>743</v>
      </c>
      <c r="B765" s="107">
        <f t="shared" si="67"/>
        <v>283</v>
      </c>
      <c r="C765" s="53" t="s">
        <v>224</v>
      </c>
      <c r="D765" s="107" t="s">
        <v>695</v>
      </c>
      <c r="E765" s="110">
        <f t="shared" si="68"/>
        <v>16319133.116</v>
      </c>
      <c r="F765" s="55">
        <v>4903713.1158539997</v>
      </c>
      <c r="G765" s="63">
        <v>3409820.697402</v>
      </c>
      <c r="H765" s="63">
        <v>0</v>
      </c>
      <c r="I765" s="63">
        <v>1911644.1932280001</v>
      </c>
      <c r="J765" s="63">
        <v>0</v>
      </c>
      <c r="K765" s="63"/>
      <c r="L765" s="55">
        <v>218511.8445216</v>
      </c>
      <c r="M765" s="63">
        <v>0</v>
      </c>
      <c r="N765" s="63"/>
      <c r="O765" s="63"/>
      <c r="P765" s="63"/>
      <c r="Q765" s="63">
        <v>5526213.8163120002</v>
      </c>
      <c r="R765" s="63"/>
      <c r="S765" s="63"/>
      <c r="T765" s="64">
        <v>349229.44868239999</v>
      </c>
      <c r="U765" s="205"/>
    </row>
    <row r="766" spans="1:22" x14ac:dyDescent="0.25">
      <c r="A766" s="193">
        <f t="shared" si="69"/>
        <v>744</v>
      </c>
      <c r="B766" s="107">
        <f t="shared" si="67"/>
        <v>284</v>
      </c>
      <c r="C766" s="53" t="s">
        <v>224</v>
      </c>
      <c r="D766" s="53" t="s">
        <v>696</v>
      </c>
      <c r="E766" s="110">
        <f t="shared" si="68"/>
        <v>24900086.324828003</v>
      </c>
      <c r="F766" s="55">
        <v>7338416.0047800001</v>
      </c>
      <c r="G766" s="63"/>
      <c r="H766" s="63">
        <v>2862800.1293219998</v>
      </c>
      <c r="I766" s="63"/>
      <c r="J766" s="63">
        <v>0</v>
      </c>
      <c r="K766" s="63"/>
      <c r="L766" s="55">
        <v>222240.79473287999</v>
      </c>
      <c r="M766" s="63">
        <v>0</v>
      </c>
      <c r="N766" s="63">
        <v>14005782.708666001</v>
      </c>
      <c r="O766" s="63">
        <v>0</v>
      </c>
      <c r="P766" s="63">
        <v>0</v>
      </c>
      <c r="Q766" s="63">
        <v>0</v>
      </c>
      <c r="R766" s="63"/>
      <c r="S766" s="63"/>
      <c r="T766" s="64">
        <v>470846.68732711999</v>
      </c>
      <c r="U766" s="205"/>
    </row>
    <row r="767" spans="1:22" x14ac:dyDescent="0.25">
      <c r="A767" s="193">
        <f t="shared" si="69"/>
        <v>745</v>
      </c>
      <c r="B767" s="107">
        <f t="shared" si="67"/>
        <v>285</v>
      </c>
      <c r="C767" s="53" t="s">
        <v>224</v>
      </c>
      <c r="D767" s="53" t="s">
        <v>697</v>
      </c>
      <c r="E767" s="62">
        <f t="shared" si="68"/>
        <v>2443012.7495121998</v>
      </c>
      <c r="F767" s="55">
        <v>0</v>
      </c>
      <c r="G767" s="63">
        <v>0</v>
      </c>
      <c r="H767" s="63">
        <v>0</v>
      </c>
      <c r="I767" s="63">
        <v>0</v>
      </c>
      <c r="J767" s="63">
        <v>0</v>
      </c>
      <c r="K767" s="63"/>
      <c r="L767" s="55"/>
      <c r="M767" s="63">
        <v>0</v>
      </c>
      <c r="N767" s="63">
        <v>2393150.122</v>
      </c>
      <c r="O767" s="63">
        <v>0</v>
      </c>
      <c r="P767" s="63">
        <v>0</v>
      </c>
      <c r="Q767" s="63">
        <v>0</v>
      </c>
      <c r="R767" s="63"/>
      <c r="S767" s="63"/>
      <c r="T767" s="64">
        <v>49862.627512200001</v>
      </c>
      <c r="U767" s="205"/>
    </row>
    <row r="768" spans="1:22" x14ac:dyDescent="0.25">
      <c r="A768" s="193">
        <f t="shared" si="69"/>
        <v>746</v>
      </c>
      <c r="B768" s="107">
        <f t="shared" si="67"/>
        <v>286</v>
      </c>
      <c r="C768" s="53" t="s">
        <v>224</v>
      </c>
      <c r="D768" s="53" t="s">
        <v>698</v>
      </c>
      <c r="E768" s="110">
        <f t="shared" si="68"/>
        <v>32843696.067818001</v>
      </c>
      <c r="F768" s="55">
        <v>6541685.2820340004</v>
      </c>
      <c r="G768" s="63">
        <v>4052132.92</v>
      </c>
      <c r="H768" s="63">
        <v>1904080.8091200001</v>
      </c>
      <c r="I768" s="63"/>
      <c r="J768" s="63">
        <v>0</v>
      </c>
      <c r="K768" s="63"/>
      <c r="L768" s="55">
        <v>511593.88939175999</v>
      </c>
      <c r="M768" s="63">
        <v>0</v>
      </c>
      <c r="N768" s="63">
        <v>19172709.856734</v>
      </c>
      <c r="O768" s="63">
        <v>0</v>
      </c>
      <c r="P768" s="63">
        <v>0</v>
      </c>
      <c r="Q768" s="63">
        <v>0</v>
      </c>
      <c r="R768" s="63"/>
      <c r="S768" s="63"/>
      <c r="T768" s="64">
        <v>661493.31053824001</v>
      </c>
      <c r="U768" s="205"/>
    </row>
    <row r="769" spans="1:21" x14ac:dyDescent="0.25">
      <c r="A769" s="193">
        <f t="shared" si="69"/>
        <v>747</v>
      </c>
      <c r="B769" s="107">
        <f t="shared" si="67"/>
        <v>287</v>
      </c>
      <c r="C769" s="53" t="s">
        <v>224</v>
      </c>
      <c r="D769" s="53" t="s">
        <v>699</v>
      </c>
      <c r="E769" s="110">
        <f t="shared" si="68"/>
        <v>12599233.890348</v>
      </c>
      <c r="F769" s="55">
        <v>3724324.4375820002</v>
      </c>
      <c r="G769" s="63"/>
      <c r="H769" s="63">
        <v>1448805.3415079999</v>
      </c>
      <c r="I769" s="63"/>
      <c r="J769" s="63">
        <v>0</v>
      </c>
      <c r="K769" s="63"/>
      <c r="L769" s="55">
        <v>113301.62983020001</v>
      </c>
      <c r="M769" s="63">
        <v>0</v>
      </c>
      <c r="N769" s="63">
        <v>7074795.119616</v>
      </c>
      <c r="O769" s="63">
        <v>0</v>
      </c>
      <c r="P769" s="63">
        <v>0</v>
      </c>
      <c r="Q769" s="63">
        <v>0</v>
      </c>
      <c r="R769" s="63"/>
      <c r="S769" s="63"/>
      <c r="T769" s="64">
        <v>238007.36181179999</v>
      </c>
      <c r="U769" s="205"/>
    </row>
    <row r="770" spans="1:21" x14ac:dyDescent="0.25">
      <c r="A770" s="193">
        <f t="shared" si="69"/>
        <v>748</v>
      </c>
      <c r="B770" s="107">
        <f t="shared" si="67"/>
        <v>288</v>
      </c>
      <c r="C770" s="53" t="s">
        <v>224</v>
      </c>
      <c r="D770" s="53" t="s">
        <v>700</v>
      </c>
      <c r="E770" s="110">
        <f t="shared" si="68"/>
        <v>12877508.090128003</v>
      </c>
      <c r="F770" s="55">
        <v>6357413.6689980002</v>
      </c>
      <c r="G770" s="63">
        <v>3936738.962142</v>
      </c>
      <c r="H770" s="63">
        <v>1850698.86414</v>
      </c>
      <c r="I770" s="63"/>
      <c r="J770" s="63">
        <v>0</v>
      </c>
      <c r="K770" s="63"/>
      <c r="L770" s="55">
        <v>497262.94218215998</v>
      </c>
      <c r="M770" s="63">
        <v>0</v>
      </c>
      <c r="N770" s="63">
        <v>0</v>
      </c>
      <c r="O770" s="63">
        <v>0</v>
      </c>
      <c r="P770" s="63">
        <v>0</v>
      </c>
      <c r="Q770" s="63">
        <v>0</v>
      </c>
      <c r="R770" s="63"/>
      <c r="S770" s="63"/>
      <c r="T770" s="64">
        <v>235393.65266584</v>
      </c>
      <c r="U770" s="205"/>
    </row>
    <row r="771" spans="1:21" x14ac:dyDescent="0.25">
      <c r="A771" s="193">
        <f t="shared" si="69"/>
        <v>749</v>
      </c>
      <c r="B771" s="107">
        <f t="shared" si="67"/>
        <v>289</v>
      </c>
      <c r="C771" s="53" t="s">
        <v>224</v>
      </c>
      <c r="D771" s="53" t="s">
        <v>701</v>
      </c>
      <c r="E771" s="110">
        <f t="shared" si="68"/>
        <v>5991508.3003080003</v>
      </c>
      <c r="F771" s="55">
        <v>4283386.4000000004</v>
      </c>
      <c r="G771" s="63"/>
      <c r="H771" s="63">
        <v>1504229.3604659999</v>
      </c>
      <c r="I771" s="63"/>
      <c r="J771" s="63">
        <v>0</v>
      </c>
      <c r="K771" s="63"/>
      <c r="L771" s="55">
        <v>117503.58224136</v>
      </c>
      <c r="M771" s="63">
        <v>0</v>
      </c>
      <c r="N771" s="63">
        <v>0</v>
      </c>
      <c r="O771" s="63">
        <v>0</v>
      </c>
      <c r="P771" s="63">
        <v>0</v>
      </c>
      <c r="Q771" s="63">
        <v>0</v>
      </c>
      <c r="R771" s="63"/>
      <c r="S771" s="63"/>
      <c r="T771" s="64">
        <v>86388.957600640002</v>
      </c>
      <c r="U771" s="205"/>
    </row>
    <row r="772" spans="1:21" x14ac:dyDescent="0.25">
      <c r="A772" s="193">
        <f t="shared" si="69"/>
        <v>750</v>
      </c>
      <c r="B772" s="107">
        <f t="shared" si="67"/>
        <v>290</v>
      </c>
      <c r="C772" s="53" t="s">
        <v>224</v>
      </c>
      <c r="D772" s="53" t="s">
        <v>702</v>
      </c>
      <c r="E772" s="62">
        <f t="shared" si="68"/>
        <v>1344004.72</v>
      </c>
      <c r="F772" s="55"/>
      <c r="G772" s="63"/>
      <c r="H772" s="63">
        <v>1315243.018992</v>
      </c>
      <c r="I772" s="63"/>
      <c r="J772" s="63">
        <v>0</v>
      </c>
      <c r="K772" s="63"/>
      <c r="L772" s="55"/>
      <c r="M772" s="63"/>
      <c r="N772" s="63"/>
      <c r="O772" s="63">
        <v>0</v>
      </c>
      <c r="P772" s="63">
        <v>0</v>
      </c>
      <c r="Q772" s="63">
        <v>0</v>
      </c>
      <c r="R772" s="63"/>
      <c r="S772" s="63"/>
      <c r="T772" s="64">
        <v>28761.701008</v>
      </c>
      <c r="U772" s="205"/>
    </row>
    <row r="773" spans="1:21" x14ac:dyDescent="0.25">
      <c r="A773" s="193">
        <f t="shared" si="69"/>
        <v>751</v>
      </c>
      <c r="B773" s="107">
        <f t="shared" si="67"/>
        <v>291</v>
      </c>
      <c r="C773" s="53" t="s">
        <v>224</v>
      </c>
      <c r="D773" s="53" t="s">
        <v>703</v>
      </c>
      <c r="E773" s="110">
        <f t="shared" si="68"/>
        <v>13285630.919514</v>
      </c>
      <c r="F773" s="55">
        <v>3907411.9739760002</v>
      </c>
      <c r="G773" s="63"/>
      <c r="H773" s="63">
        <v>1521963.5496660001</v>
      </c>
      <c r="I773" s="63"/>
      <c r="J773" s="63">
        <v>0</v>
      </c>
      <c r="K773" s="63"/>
      <c r="L773" s="55">
        <v>118919.97069456</v>
      </c>
      <c r="M773" s="63">
        <v>0</v>
      </c>
      <c r="N773" s="63">
        <v>7486206.9364320002</v>
      </c>
      <c r="O773" s="63">
        <v>0</v>
      </c>
      <c r="P773" s="63">
        <v>0</v>
      </c>
      <c r="Q773" s="63">
        <v>0</v>
      </c>
      <c r="R773" s="63"/>
      <c r="S773" s="63"/>
      <c r="T773" s="64">
        <v>251128.48874544</v>
      </c>
      <c r="U773" s="205"/>
    </row>
    <row r="774" spans="1:21" x14ac:dyDescent="0.25">
      <c r="A774" s="193">
        <f t="shared" si="69"/>
        <v>752</v>
      </c>
      <c r="B774" s="107">
        <f t="shared" si="67"/>
        <v>292</v>
      </c>
      <c r="C774" s="53" t="s">
        <v>224</v>
      </c>
      <c r="D774" s="53" t="s">
        <v>704</v>
      </c>
      <c r="E774" s="110">
        <f t="shared" si="68"/>
        <v>6292343.4388953932</v>
      </c>
      <c r="F774" s="55">
        <v>4579944.07</v>
      </c>
      <c r="G774" s="63">
        <v>0</v>
      </c>
      <c r="H774" s="63">
        <v>1495590.896184</v>
      </c>
      <c r="I774" s="63">
        <v>0</v>
      </c>
      <c r="J774" s="63">
        <v>0</v>
      </c>
      <c r="K774" s="63"/>
      <c r="L774" s="55">
        <v>124902.41131799501</v>
      </c>
      <c r="M774" s="63">
        <v>0</v>
      </c>
      <c r="N774" s="63"/>
      <c r="O774" s="63">
        <v>0</v>
      </c>
      <c r="P774" s="63">
        <v>0</v>
      </c>
      <c r="Q774" s="63">
        <v>0</v>
      </c>
      <c r="R774" s="63"/>
      <c r="S774" s="63"/>
      <c r="T774" s="64">
        <v>91906.061393397395</v>
      </c>
      <c r="U774" s="205"/>
    </row>
    <row r="775" spans="1:21" x14ac:dyDescent="0.25">
      <c r="A775" s="193">
        <f t="shared" si="69"/>
        <v>753</v>
      </c>
      <c r="B775" s="107">
        <f t="shared" si="67"/>
        <v>293</v>
      </c>
      <c r="C775" s="53" t="s">
        <v>224</v>
      </c>
      <c r="D775" s="53" t="s">
        <v>705</v>
      </c>
      <c r="E775" s="110">
        <f t="shared" si="68"/>
        <v>11532330.67818876</v>
      </c>
      <c r="F775" s="55">
        <v>6199194.5115240002</v>
      </c>
      <c r="G775" s="63">
        <v>2285392.4459099998</v>
      </c>
      <c r="H775" s="63">
        <v>2416203.8455380001</v>
      </c>
      <c r="I775" s="63"/>
      <c r="J775" s="63">
        <v>0</v>
      </c>
      <c r="K775" s="63"/>
      <c r="L775" s="55">
        <v>187860.32184275999</v>
      </c>
      <c r="M775" s="63">
        <v>0</v>
      </c>
      <c r="N775" s="63"/>
      <c r="O775" s="63">
        <v>0</v>
      </c>
      <c r="P775" s="63">
        <v>0</v>
      </c>
      <c r="Q775" s="63">
        <v>0</v>
      </c>
      <c r="R775" s="63"/>
      <c r="S775" s="63"/>
      <c r="T775" s="64">
        <v>443679.55337400001</v>
      </c>
      <c r="U775" s="205"/>
    </row>
    <row r="776" spans="1:21" x14ac:dyDescent="0.25">
      <c r="A776" s="193">
        <f t="shared" si="69"/>
        <v>754</v>
      </c>
      <c r="B776" s="107">
        <f t="shared" si="67"/>
        <v>294</v>
      </c>
      <c r="C776" s="53" t="s">
        <v>224</v>
      </c>
      <c r="D776" s="53" t="s">
        <v>706</v>
      </c>
      <c r="E776" s="110">
        <f t="shared" si="68"/>
        <v>5742442.6907280004</v>
      </c>
      <c r="F776" s="55">
        <v>3982032.6019740002</v>
      </c>
      <c r="G776" s="63"/>
      <c r="H776" s="63">
        <v>1551107.314554</v>
      </c>
      <c r="I776" s="63"/>
      <c r="J776" s="63">
        <v>0</v>
      </c>
      <c r="K776" s="63"/>
      <c r="L776" s="55">
        <v>121162.59054059999</v>
      </c>
      <c r="M776" s="63">
        <v>0</v>
      </c>
      <c r="N776" s="63"/>
      <c r="O776" s="63">
        <v>0</v>
      </c>
      <c r="P776" s="63">
        <v>0</v>
      </c>
      <c r="Q776" s="63">
        <v>0</v>
      </c>
      <c r="R776" s="63"/>
      <c r="S776" s="63"/>
      <c r="T776" s="64">
        <v>88140.183659400005</v>
      </c>
      <c r="U776" s="205"/>
    </row>
    <row r="777" spans="1:21" x14ac:dyDescent="0.25">
      <c r="A777" s="193">
        <f t="shared" si="69"/>
        <v>755</v>
      </c>
      <c r="B777" s="107">
        <f t="shared" si="67"/>
        <v>295</v>
      </c>
      <c r="C777" s="53" t="s">
        <v>224</v>
      </c>
      <c r="D777" s="53" t="s">
        <v>707</v>
      </c>
      <c r="E777" s="110">
        <f t="shared" si="68"/>
        <v>12145710.702209137</v>
      </c>
      <c r="F777" s="55">
        <v>3658298.7075725999</v>
      </c>
      <c r="G777" s="63"/>
      <c r="H777" s="63">
        <v>1401560.9593595399</v>
      </c>
      <c r="I777" s="63"/>
      <c r="J777" s="63">
        <v>0</v>
      </c>
      <c r="K777" s="63"/>
      <c r="L777" s="55">
        <v>120770.72210951999</v>
      </c>
      <c r="M777" s="63">
        <v>0</v>
      </c>
      <c r="N777" s="63">
        <v>6882439.7186495997</v>
      </c>
      <c r="O777" s="63">
        <v>0</v>
      </c>
      <c r="P777" s="63">
        <v>0</v>
      </c>
      <c r="Q777" s="63">
        <v>0</v>
      </c>
      <c r="R777" s="63"/>
      <c r="S777" s="63"/>
      <c r="T777" s="64">
        <v>82640.594517880003</v>
      </c>
      <c r="U777" s="205"/>
    </row>
    <row r="778" spans="1:21" x14ac:dyDescent="0.25">
      <c r="A778" s="193">
        <f t="shared" si="69"/>
        <v>756</v>
      </c>
      <c r="B778" s="107">
        <f t="shared" si="67"/>
        <v>296</v>
      </c>
      <c r="C778" s="53" t="s">
        <v>224</v>
      </c>
      <c r="D778" s="53" t="s">
        <v>708</v>
      </c>
      <c r="E778" s="110">
        <f t="shared" si="68"/>
        <v>12143811.453101579</v>
      </c>
      <c r="F778" s="55">
        <v>3657726.6514807199</v>
      </c>
      <c r="G778" s="63"/>
      <c r="H778" s="63">
        <v>1401341.7924949799</v>
      </c>
      <c r="I778" s="63"/>
      <c r="J778" s="63">
        <v>0</v>
      </c>
      <c r="K778" s="63"/>
      <c r="L778" s="55">
        <v>120751.8388482</v>
      </c>
      <c r="M778" s="63">
        <v>0</v>
      </c>
      <c r="N778" s="63">
        <v>6881363.4984066002</v>
      </c>
      <c r="O778" s="63">
        <v>0</v>
      </c>
      <c r="P778" s="63">
        <v>0</v>
      </c>
      <c r="Q778" s="63">
        <v>0</v>
      </c>
      <c r="R778" s="63"/>
      <c r="S778" s="63"/>
      <c r="T778" s="64">
        <v>82627.671871080005</v>
      </c>
      <c r="U778" s="205"/>
    </row>
    <row r="779" spans="1:21" x14ac:dyDescent="0.25">
      <c r="A779" s="193">
        <f t="shared" si="69"/>
        <v>757</v>
      </c>
      <c r="B779" s="107">
        <f t="shared" si="67"/>
        <v>297</v>
      </c>
      <c r="C779" s="53" t="s">
        <v>224</v>
      </c>
      <c r="D779" s="53" t="s">
        <v>709</v>
      </c>
      <c r="E779" s="62">
        <f t="shared" si="68"/>
        <v>13671731.356000001</v>
      </c>
      <c r="F779" s="55">
        <v>4011119.128548</v>
      </c>
      <c r="G779" s="63"/>
      <c r="H779" s="63">
        <v>1562537.0591879999</v>
      </c>
      <c r="I779" s="63"/>
      <c r="J779" s="63">
        <v>0</v>
      </c>
      <c r="K779" s="63"/>
      <c r="L779" s="55">
        <v>122036.0252916</v>
      </c>
      <c r="M779" s="63">
        <v>0</v>
      </c>
      <c r="N779" s="63">
        <v>7683464.0919540003</v>
      </c>
      <c r="O779" s="63">
        <v>0</v>
      </c>
      <c r="P779" s="63">
        <v>0</v>
      </c>
      <c r="Q779" s="63">
        <v>0</v>
      </c>
      <c r="R779" s="63"/>
      <c r="S779" s="63"/>
      <c r="T779" s="64">
        <v>292575.0510184</v>
      </c>
      <c r="U779" s="205"/>
    </row>
    <row r="780" spans="1:21" x14ac:dyDescent="0.25">
      <c r="A780" s="193">
        <f t="shared" si="69"/>
        <v>758</v>
      </c>
      <c r="B780" s="107">
        <f t="shared" si="67"/>
        <v>298</v>
      </c>
      <c r="C780" s="53" t="s">
        <v>224</v>
      </c>
      <c r="D780" s="53" t="s">
        <v>495</v>
      </c>
      <c r="E780" s="62">
        <f t="shared" si="68"/>
        <v>2989464.9213971598</v>
      </c>
      <c r="F780" s="55"/>
      <c r="G780" s="63"/>
      <c r="H780" s="63">
        <v>2475810.0485999999</v>
      </c>
      <c r="I780" s="63"/>
      <c r="J780" s="63">
        <v>0</v>
      </c>
      <c r="K780" s="63"/>
      <c r="L780" s="55"/>
      <c r="M780" s="63"/>
      <c r="N780" s="63"/>
      <c r="O780" s="63">
        <v>0</v>
      </c>
      <c r="P780" s="63">
        <v>0</v>
      </c>
      <c r="Q780" s="63">
        <v>0</v>
      </c>
      <c r="R780" s="63"/>
      <c r="S780" s="63"/>
      <c r="T780" s="64">
        <v>513654.87279716</v>
      </c>
      <c r="U780" s="205"/>
    </row>
    <row r="781" spans="1:21" x14ac:dyDescent="0.25">
      <c r="A781" s="193">
        <f t="shared" si="69"/>
        <v>759</v>
      </c>
      <c r="B781" s="107">
        <f t="shared" si="67"/>
        <v>299</v>
      </c>
      <c r="C781" s="53" t="s">
        <v>224</v>
      </c>
      <c r="D781" s="53" t="s">
        <v>710</v>
      </c>
      <c r="E781" s="110">
        <f t="shared" si="68"/>
        <v>6272789.9816140002</v>
      </c>
      <c r="F781" s="55">
        <v>4492917.2</v>
      </c>
      <c r="G781" s="63"/>
      <c r="H781" s="63">
        <v>1568314.713588</v>
      </c>
      <c r="I781" s="63"/>
      <c r="J781" s="63">
        <v>0</v>
      </c>
      <c r="K781" s="63"/>
      <c r="L781" s="55">
        <v>122527.0476276</v>
      </c>
      <c r="M781" s="63">
        <v>0</v>
      </c>
      <c r="N781" s="63"/>
      <c r="O781" s="63">
        <v>0</v>
      </c>
      <c r="P781" s="63">
        <v>0</v>
      </c>
      <c r="Q781" s="63">
        <v>0</v>
      </c>
      <c r="R781" s="63"/>
      <c r="S781" s="63"/>
      <c r="T781" s="64">
        <v>89031.020398399996</v>
      </c>
      <c r="U781" s="205"/>
    </row>
    <row r="782" spans="1:21" x14ac:dyDescent="0.25">
      <c r="A782" s="193">
        <f t="shared" si="69"/>
        <v>760</v>
      </c>
      <c r="B782" s="107">
        <f t="shared" si="67"/>
        <v>300</v>
      </c>
      <c r="C782" s="53" t="s">
        <v>224</v>
      </c>
      <c r="D782" s="53" t="s">
        <v>711</v>
      </c>
      <c r="E782" s="110">
        <f t="shared" si="68"/>
        <v>13001441.511314001</v>
      </c>
      <c r="F782" s="55">
        <v>3885914.2848959998</v>
      </c>
      <c r="G782" s="63"/>
      <c r="H782" s="63">
        <v>1513519.582134</v>
      </c>
      <c r="I782" s="63"/>
      <c r="J782" s="63">
        <v>0</v>
      </c>
      <c r="K782" s="63"/>
      <c r="L782" s="55">
        <v>118276.93283028</v>
      </c>
      <c r="M782" s="63">
        <v>0</v>
      </c>
      <c r="N782" s="63">
        <v>7398774.3793740002</v>
      </c>
      <c r="O782" s="63">
        <v>0</v>
      </c>
      <c r="P782" s="63">
        <v>0</v>
      </c>
      <c r="Q782" s="63">
        <v>0</v>
      </c>
      <c r="R782" s="63"/>
      <c r="S782" s="63"/>
      <c r="T782" s="64">
        <v>84956.332079719999</v>
      </c>
      <c r="U782" s="205"/>
    </row>
    <row r="783" spans="1:21" x14ac:dyDescent="0.25">
      <c r="A783" s="193">
        <f t="shared" si="69"/>
        <v>761</v>
      </c>
      <c r="B783" s="107">
        <f t="shared" si="67"/>
        <v>301</v>
      </c>
      <c r="C783" s="53" t="s">
        <v>224</v>
      </c>
      <c r="D783" s="107" t="s">
        <v>712</v>
      </c>
      <c r="E783" s="62">
        <f t="shared" si="68"/>
        <v>3110187.22</v>
      </c>
      <c r="F783" s="55">
        <v>0</v>
      </c>
      <c r="G783" s="63">
        <v>0</v>
      </c>
      <c r="H783" s="63">
        <v>3043629.213492</v>
      </c>
      <c r="I783" s="63">
        <v>0</v>
      </c>
      <c r="J783" s="63">
        <v>0</v>
      </c>
      <c r="K783" s="63"/>
      <c r="L783" s="55"/>
      <c r="M783" s="63">
        <v>0</v>
      </c>
      <c r="N783" s="63">
        <v>0</v>
      </c>
      <c r="O783" s="63">
        <v>0</v>
      </c>
      <c r="P783" s="63">
        <v>0</v>
      </c>
      <c r="Q783" s="63">
        <v>0</v>
      </c>
      <c r="R783" s="63"/>
      <c r="S783" s="63"/>
      <c r="T783" s="64">
        <v>66558.006508000006</v>
      </c>
      <c r="U783" s="205"/>
    </row>
    <row r="784" spans="1:21" x14ac:dyDescent="0.25">
      <c r="A784" s="193">
        <f t="shared" si="69"/>
        <v>762</v>
      </c>
      <c r="B784" s="107">
        <f t="shared" si="67"/>
        <v>302</v>
      </c>
      <c r="C784" s="53" t="s">
        <v>224</v>
      </c>
      <c r="D784" s="53" t="s">
        <v>713</v>
      </c>
      <c r="E784" s="62">
        <f t="shared" si="68"/>
        <v>6443087.8999999994</v>
      </c>
      <c r="F784" s="55">
        <v>6305205.8189399997</v>
      </c>
      <c r="G784" s="63">
        <v>0</v>
      </c>
      <c r="H784" s="63">
        <v>0</v>
      </c>
      <c r="I784" s="63">
        <v>0</v>
      </c>
      <c r="J784" s="63">
        <v>0</v>
      </c>
      <c r="K784" s="63"/>
      <c r="L784" s="55"/>
      <c r="M784" s="63">
        <v>0</v>
      </c>
      <c r="N784" s="63">
        <v>0</v>
      </c>
      <c r="O784" s="63">
        <v>0</v>
      </c>
      <c r="P784" s="63">
        <v>0</v>
      </c>
      <c r="Q784" s="63">
        <v>0</v>
      </c>
      <c r="R784" s="63"/>
      <c r="S784" s="63"/>
      <c r="T784" s="64">
        <v>137882.08106</v>
      </c>
      <c r="U784" s="205"/>
    </row>
    <row r="785" spans="1:21" x14ac:dyDescent="0.25">
      <c r="A785" s="193">
        <f t="shared" si="69"/>
        <v>763</v>
      </c>
      <c r="B785" s="107">
        <f t="shared" si="67"/>
        <v>303</v>
      </c>
      <c r="C785" s="53" t="s">
        <v>224</v>
      </c>
      <c r="D785" s="107" t="s">
        <v>237</v>
      </c>
      <c r="E785" s="62">
        <f t="shared" si="68"/>
        <v>11997336.196300019</v>
      </c>
      <c r="F785" s="55">
        <v>11740593.201699199</v>
      </c>
      <c r="G785" s="63">
        <v>0</v>
      </c>
      <c r="H785" s="63">
        <v>0</v>
      </c>
      <c r="I785" s="63">
        <v>0</v>
      </c>
      <c r="J785" s="63">
        <v>0</v>
      </c>
      <c r="K785" s="63"/>
      <c r="L785" s="55"/>
      <c r="M785" s="63">
        <v>0</v>
      </c>
      <c r="N785" s="63">
        <v>0</v>
      </c>
      <c r="O785" s="63">
        <v>0</v>
      </c>
      <c r="P785" s="63">
        <v>0</v>
      </c>
      <c r="Q785" s="63">
        <v>0</v>
      </c>
      <c r="R785" s="63"/>
      <c r="S785" s="63"/>
      <c r="T785" s="64">
        <v>256742.99460082001</v>
      </c>
      <c r="U785" s="205"/>
    </row>
    <row r="786" spans="1:21" x14ac:dyDescent="0.25">
      <c r="A786" s="193">
        <f t="shared" si="69"/>
        <v>764</v>
      </c>
      <c r="B786" s="107">
        <f t="shared" si="67"/>
        <v>304</v>
      </c>
      <c r="C786" s="53" t="s">
        <v>224</v>
      </c>
      <c r="D786" s="53" t="s">
        <v>714</v>
      </c>
      <c r="E786" s="110">
        <f t="shared" si="68"/>
        <v>12543558.134602001</v>
      </c>
      <c r="F786" s="55">
        <v>3735025.2035039999</v>
      </c>
      <c r="G786" s="63"/>
      <c r="H786" s="63">
        <v>1454526.423042</v>
      </c>
      <c r="I786" s="63"/>
      <c r="J786" s="63">
        <v>0</v>
      </c>
      <c r="K786" s="63"/>
      <c r="L786" s="55">
        <v>113745.43921775999</v>
      </c>
      <c r="M786" s="63">
        <v>0</v>
      </c>
      <c r="N786" s="63">
        <v>7157698.5886559999</v>
      </c>
      <c r="O786" s="63">
        <v>0</v>
      </c>
      <c r="P786" s="63">
        <v>0</v>
      </c>
      <c r="Q786" s="63">
        <v>0</v>
      </c>
      <c r="R786" s="63"/>
      <c r="S786" s="63"/>
      <c r="T786" s="64">
        <v>82562.480182240004</v>
      </c>
      <c r="U786" s="205"/>
    </row>
    <row r="787" spans="1:21" x14ac:dyDescent="0.25">
      <c r="A787" s="193">
        <f t="shared" si="69"/>
        <v>765</v>
      </c>
      <c r="B787" s="107">
        <f t="shared" si="67"/>
        <v>305</v>
      </c>
      <c r="C787" s="53" t="s">
        <v>224</v>
      </c>
      <c r="D787" s="53" t="s">
        <v>715</v>
      </c>
      <c r="E787" s="62">
        <f t="shared" si="68"/>
        <v>6596393.3232227461</v>
      </c>
      <c r="F787" s="55"/>
      <c r="G787" s="63"/>
      <c r="H787" s="63"/>
      <c r="I787" s="63"/>
      <c r="J787" s="63"/>
      <c r="K787" s="63"/>
      <c r="L787" s="55"/>
      <c r="M787" s="63"/>
      <c r="N787" s="63"/>
      <c r="O787" s="63"/>
      <c r="P787" s="63"/>
      <c r="Q787" s="63">
        <v>6308293.30644779</v>
      </c>
      <c r="R787" s="63"/>
      <c r="S787" s="63"/>
      <c r="T787" s="64">
        <v>288100.01677495602</v>
      </c>
      <c r="U787" s="205"/>
    </row>
    <row r="788" spans="1:21" x14ac:dyDescent="0.25">
      <c r="A788" s="193">
        <f t="shared" si="69"/>
        <v>766</v>
      </c>
      <c r="B788" s="107">
        <f t="shared" si="67"/>
        <v>306</v>
      </c>
      <c r="C788" s="53" t="s">
        <v>224</v>
      </c>
      <c r="D788" s="107" t="s">
        <v>418</v>
      </c>
      <c r="E788" s="62">
        <f t="shared" si="68"/>
        <v>12371389.341982</v>
      </c>
      <c r="F788" s="55">
        <v>4698966.264804</v>
      </c>
      <c r="G788" s="63">
        <v>3271249.5477900002</v>
      </c>
      <c r="H788" s="63">
        <v>1989640.022412</v>
      </c>
      <c r="I788" s="63">
        <v>1773515.76</v>
      </c>
      <c r="J788" s="63">
        <v>0</v>
      </c>
      <c r="K788" s="63"/>
      <c r="L788" s="55">
        <v>209478.56798399999</v>
      </c>
      <c r="M788" s="63">
        <v>0</v>
      </c>
      <c r="N788" s="63"/>
      <c r="O788" s="63">
        <v>0</v>
      </c>
      <c r="P788" s="63">
        <v>0</v>
      </c>
      <c r="Q788" s="63"/>
      <c r="R788" s="63"/>
      <c r="S788" s="63"/>
      <c r="T788" s="64">
        <v>428539.178992</v>
      </c>
      <c r="U788" s="205"/>
    </row>
    <row r="789" spans="1:21" x14ac:dyDescent="0.25">
      <c r="A789" s="193">
        <f t="shared" si="69"/>
        <v>767</v>
      </c>
      <c r="B789" s="107">
        <f t="shared" si="67"/>
        <v>307</v>
      </c>
      <c r="C789" s="53" t="s">
        <v>224</v>
      </c>
      <c r="D789" s="53" t="s">
        <v>716</v>
      </c>
      <c r="E789" s="110">
        <f t="shared" si="68"/>
        <v>13218017.302283999</v>
      </c>
      <c r="F789" s="55">
        <v>3950676.9662219998</v>
      </c>
      <c r="G789" s="63"/>
      <c r="H789" s="63">
        <v>1538875.675722</v>
      </c>
      <c r="I789" s="63"/>
      <c r="J789" s="63">
        <v>0</v>
      </c>
      <c r="K789" s="63"/>
      <c r="L789" s="55">
        <v>120223.04998955999</v>
      </c>
      <c r="M789" s="63">
        <v>0</v>
      </c>
      <c r="N789" s="63">
        <v>7521830.6773680001</v>
      </c>
      <c r="O789" s="63">
        <v>0</v>
      </c>
      <c r="P789" s="63">
        <v>0</v>
      </c>
      <c r="Q789" s="63">
        <v>0</v>
      </c>
      <c r="R789" s="63"/>
      <c r="S789" s="63"/>
      <c r="T789" s="64">
        <v>86410.932982440005</v>
      </c>
      <c r="U789" s="205"/>
    </row>
    <row r="790" spans="1:21" x14ac:dyDescent="0.25">
      <c r="A790" s="193">
        <f t="shared" si="69"/>
        <v>768</v>
      </c>
      <c r="B790" s="107">
        <f t="shared" si="67"/>
        <v>308</v>
      </c>
      <c r="C790" s="53" t="s">
        <v>224</v>
      </c>
      <c r="D790" s="53" t="s">
        <v>717</v>
      </c>
      <c r="E790" s="62">
        <f t="shared" si="68"/>
        <v>21345856.605785999</v>
      </c>
      <c r="F790" s="55">
        <v>5008921.6874759998</v>
      </c>
      <c r="G790" s="63">
        <v>3483953.1116459998</v>
      </c>
      <c r="H790" s="63">
        <v>2121517.0782960001</v>
      </c>
      <c r="I790" s="63">
        <v>1954219.3801200001</v>
      </c>
      <c r="J790" s="63">
        <v>0</v>
      </c>
      <c r="K790" s="63"/>
      <c r="L790" s="55">
        <v>223072.98168960001</v>
      </c>
      <c r="M790" s="63">
        <v>0</v>
      </c>
      <c r="N790" s="63">
        <v>2447118.710064</v>
      </c>
      <c r="O790" s="63">
        <v>0</v>
      </c>
      <c r="P790" s="63">
        <v>0</v>
      </c>
      <c r="Q790" s="63">
        <v>5650252.32534</v>
      </c>
      <c r="R790" s="63"/>
      <c r="S790" s="63"/>
      <c r="T790" s="64">
        <v>456801.33115440002</v>
      </c>
      <c r="U790" s="205"/>
    </row>
    <row r="791" spans="1:21" x14ac:dyDescent="0.25">
      <c r="A791" s="193">
        <f t="shared" si="69"/>
        <v>769</v>
      </c>
      <c r="B791" s="107">
        <f t="shared" si="67"/>
        <v>309</v>
      </c>
      <c r="C791" s="53" t="s">
        <v>224</v>
      </c>
      <c r="D791" s="53" t="s">
        <v>718</v>
      </c>
      <c r="E791" s="62">
        <f t="shared" si="68"/>
        <v>12608792.023100039</v>
      </c>
      <c r="F791" s="55">
        <v>12338963.8738057</v>
      </c>
      <c r="G791" s="63">
        <v>0</v>
      </c>
      <c r="H791" s="63">
        <v>0</v>
      </c>
      <c r="I791" s="63"/>
      <c r="J791" s="63">
        <v>0</v>
      </c>
      <c r="K791" s="63"/>
      <c r="L791" s="55"/>
      <c r="M791" s="63">
        <v>0</v>
      </c>
      <c r="N791" s="63">
        <v>0</v>
      </c>
      <c r="O791" s="63">
        <v>0</v>
      </c>
      <c r="P791" s="63"/>
      <c r="Q791" s="63"/>
      <c r="R791" s="63"/>
      <c r="S791" s="63"/>
      <c r="T791" s="64">
        <v>269828.14929433999</v>
      </c>
      <c r="U791" s="205"/>
    </row>
    <row r="792" spans="1:21" x14ac:dyDescent="0.25">
      <c r="A792" s="193">
        <f t="shared" si="69"/>
        <v>770</v>
      </c>
      <c r="B792" s="107">
        <f t="shared" si="67"/>
        <v>310</v>
      </c>
      <c r="C792" s="53" t="s">
        <v>224</v>
      </c>
      <c r="D792" s="53" t="s">
        <v>719</v>
      </c>
      <c r="E792" s="110">
        <f t="shared" si="68"/>
        <v>56780957.068722241</v>
      </c>
      <c r="F792" s="55">
        <v>13823112.4839116</v>
      </c>
      <c r="G792" s="63">
        <v>12632890.619999999</v>
      </c>
      <c r="H792" s="63">
        <v>6088266.4100000001</v>
      </c>
      <c r="I792" s="63">
        <v>7075220.4500000002</v>
      </c>
      <c r="J792" s="63">
        <v>0</v>
      </c>
      <c r="K792" s="63"/>
      <c r="L792" s="55">
        <v>665002.67436960002</v>
      </c>
      <c r="M792" s="63">
        <v>0</v>
      </c>
      <c r="N792" s="63">
        <v>0</v>
      </c>
      <c r="O792" s="63">
        <v>0</v>
      </c>
      <c r="P792" s="63">
        <v>0</v>
      </c>
      <c r="Q792" s="63">
        <v>15395294.522631699</v>
      </c>
      <c r="R792" s="63"/>
      <c r="S792" s="63"/>
      <c r="T792" s="64">
        <v>1101169.9078093399</v>
      </c>
      <c r="U792" s="205"/>
    </row>
    <row r="793" spans="1:21" x14ac:dyDescent="0.25">
      <c r="A793" s="193">
        <f t="shared" si="69"/>
        <v>771</v>
      </c>
      <c r="B793" s="107">
        <f t="shared" si="67"/>
        <v>311</v>
      </c>
      <c r="C793" s="53" t="s">
        <v>224</v>
      </c>
      <c r="D793" s="107" t="s">
        <v>720</v>
      </c>
      <c r="E793" s="62">
        <f t="shared" si="68"/>
        <v>25200863.72312158</v>
      </c>
      <c r="F793" s="55">
        <v>18821465.971318901</v>
      </c>
      <c r="G793" s="63">
        <v>5062346.8099999996</v>
      </c>
      <c r="H793" s="63"/>
      <c r="I793" s="63"/>
      <c r="J793" s="63"/>
      <c r="K793" s="63"/>
      <c r="L793" s="55">
        <v>905463.60092160001</v>
      </c>
      <c r="M793" s="63">
        <v>0</v>
      </c>
      <c r="N793" s="63"/>
      <c r="O793" s="63">
        <v>0</v>
      </c>
      <c r="P793" s="63">
        <v>0</v>
      </c>
      <c r="Q793" s="63"/>
      <c r="R793" s="63"/>
      <c r="S793" s="63"/>
      <c r="T793" s="64">
        <v>411587.34088108002</v>
      </c>
      <c r="U793" s="205"/>
    </row>
    <row r="794" spans="1:21" x14ac:dyDescent="0.25">
      <c r="A794" s="193">
        <f t="shared" si="69"/>
        <v>772</v>
      </c>
      <c r="B794" s="107">
        <f t="shared" si="67"/>
        <v>312</v>
      </c>
      <c r="C794" s="53" t="s">
        <v>224</v>
      </c>
      <c r="D794" s="107" t="s">
        <v>419</v>
      </c>
      <c r="E794" s="62">
        <f t="shared" si="68"/>
        <v>5628828.2566717602</v>
      </c>
      <c r="F794" s="55"/>
      <c r="G794" s="63"/>
      <c r="H794" s="63"/>
      <c r="I794" s="63">
        <v>5320168.0919898003</v>
      </c>
      <c r="J794" s="63"/>
      <c r="K794" s="63"/>
      <c r="L794" s="55"/>
      <c r="M794" s="63">
        <v>0</v>
      </c>
      <c r="N794" s="63"/>
      <c r="O794" s="63">
        <v>0</v>
      </c>
      <c r="P794" s="63"/>
      <c r="Q794" s="63"/>
      <c r="R794" s="63"/>
      <c r="S794" s="63"/>
      <c r="T794" s="64">
        <v>308660.16468196001</v>
      </c>
      <c r="U794" s="205"/>
    </row>
    <row r="795" spans="1:21" x14ac:dyDescent="0.25">
      <c r="A795" s="193">
        <f t="shared" si="69"/>
        <v>773</v>
      </c>
      <c r="B795" s="107">
        <f t="shared" ref="B795:B851" si="70">+B794+1</f>
        <v>313</v>
      </c>
      <c r="C795" s="53" t="s">
        <v>224</v>
      </c>
      <c r="D795" s="53" t="s">
        <v>721</v>
      </c>
      <c r="E795" s="62">
        <f t="shared" si="68"/>
        <v>5340335.5010031993</v>
      </c>
      <c r="F795" s="55">
        <v>5007132.5620259997</v>
      </c>
      <c r="G795" s="63"/>
      <c r="H795" s="63"/>
      <c r="I795" s="63"/>
      <c r="J795" s="63"/>
      <c r="K795" s="63"/>
      <c r="L795" s="55">
        <v>223707.09100320001</v>
      </c>
      <c r="M795" s="63">
        <v>0</v>
      </c>
      <c r="N795" s="63">
        <v>0</v>
      </c>
      <c r="O795" s="63">
        <v>0</v>
      </c>
      <c r="P795" s="63">
        <v>0</v>
      </c>
      <c r="Q795" s="63"/>
      <c r="R795" s="63"/>
      <c r="S795" s="63"/>
      <c r="T795" s="64">
        <v>109495.847974</v>
      </c>
      <c r="U795" s="205"/>
    </row>
    <row r="796" spans="1:21" x14ac:dyDescent="0.25">
      <c r="A796" s="193">
        <f t="shared" si="69"/>
        <v>774</v>
      </c>
      <c r="B796" s="107">
        <f t="shared" si="70"/>
        <v>314</v>
      </c>
      <c r="C796" s="53" t="s">
        <v>224</v>
      </c>
      <c r="D796" s="53" t="s">
        <v>722</v>
      </c>
      <c r="E796" s="110">
        <f t="shared" si="68"/>
        <v>5749866.5198840005</v>
      </c>
      <c r="F796" s="55"/>
      <c r="G796" s="63">
        <v>3526312.8793199998</v>
      </c>
      <c r="H796" s="63">
        <v>2147628.2009279998</v>
      </c>
      <c r="I796" s="63">
        <v>0</v>
      </c>
      <c r="J796" s="63">
        <v>0</v>
      </c>
      <c r="K796" s="63"/>
      <c r="L796" s="55"/>
      <c r="M796" s="63">
        <v>0</v>
      </c>
      <c r="N796" s="63">
        <v>0</v>
      </c>
      <c r="O796" s="63">
        <v>0</v>
      </c>
      <c r="P796" s="63">
        <v>0</v>
      </c>
      <c r="Q796" s="63">
        <v>0</v>
      </c>
      <c r="R796" s="63"/>
      <c r="S796" s="63"/>
      <c r="T796" s="64">
        <v>75925.439635999996</v>
      </c>
      <c r="U796" s="205"/>
    </row>
    <row r="797" spans="1:21" x14ac:dyDescent="0.25">
      <c r="A797" s="193">
        <f t="shared" si="69"/>
        <v>775</v>
      </c>
      <c r="B797" s="107">
        <f t="shared" si="70"/>
        <v>315</v>
      </c>
      <c r="C797" s="53" t="s">
        <v>224</v>
      </c>
      <c r="D797" s="53" t="s">
        <v>723</v>
      </c>
      <c r="E797" s="110">
        <f t="shared" si="68"/>
        <v>4344120.7939999998</v>
      </c>
      <c r="F797" s="55">
        <v>0</v>
      </c>
      <c r="G797" s="63">
        <v>0</v>
      </c>
      <c r="H797" s="63">
        <v>4251156.6090083998</v>
      </c>
      <c r="I797" s="63">
        <v>0</v>
      </c>
      <c r="J797" s="63">
        <v>0</v>
      </c>
      <c r="K797" s="63"/>
      <c r="L797" s="55"/>
      <c r="M797" s="63">
        <v>0</v>
      </c>
      <c r="N797" s="63">
        <v>0</v>
      </c>
      <c r="O797" s="63">
        <v>0</v>
      </c>
      <c r="P797" s="63">
        <v>0</v>
      </c>
      <c r="Q797" s="63">
        <v>0</v>
      </c>
      <c r="R797" s="63"/>
      <c r="S797" s="63"/>
      <c r="T797" s="64">
        <v>92964.184991600006</v>
      </c>
      <c r="U797" s="205"/>
    </row>
    <row r="798" spans="1:21" x14ac:dyDescent="0.25">
      <c r="A798" s="193">
        <f t="shared" si="69"/>
        <v>776</v>
      </c>
      <c r="B798" s="107">
        <f t="shared" si="70"/>
        <v>316</v>
      </c>
      <c r="C798" s="53" t="s">
        <v>224</v>
      </c>
      <c r="D798" s="53" t="s">
        <v>724</v>
      </c>
      <c r="E798" s="110">
        <f t="shared" si="68"/>
        <v>3266851.3906</v>
      </c>
      <c r="F798" s="55"/>
      <c r="G798" s="63">
        <v>3196940.7708411599</v>
      </c>
      <c r="H798" s="63">
        <v>0</v>
      </c>
      <c r="I798" s="63">
        <v>0</v>
      </c>
      <c r="J798" s="63">
        <v>0</v>
      </c>
      <c r="K798" s="63"/>
      <c r="L798" s="55"/>
      <c r="M798" s="63">
        <v>0</v>
      </c>
      <c r="N798" s="63">
        <v>0</v>
      </c>
      <c r="O798" s="63">
        <v>0</v>
      </c>
      <c r="P798" s="63">
        <v>0</v>
      </c>
      <c r="Q798" s="63">
        <v>0</v>
      </c>
      <c r="R798" s="63"/>
      <c r="S798" s="63"/>
      <c r="T798" s="64">
        <v>69910.619758839995</v>
      </c>
      <c r="U798" s="205"/>
    </row>
    <row r="799" spans="1:21" x14ac:dyDescent="0.25">
      <c r="A799" s="193">
        <f t="shared" si="69"/>
        <v>777</v>
      </c>
      <c r="B799" s="107">
        <f t="shared" si="70"/>
        <v>317</v>
      </c>
      <c r="C799" s="53" t="s">
        <v>224</v>
      </c>
      <c r="D799" s="53" t="s">
        <v>725</v>
      </c>
      <c r="E799" s="62">
        <f t="shared" si="68"/>
        <v>8858174.1696719993</v>
      </c>
      <c r="F799" s="55">
        <v>4988188.1969219996</v>
      </c>
      <c r="G799" s="63">
        <v>3464508.143712</v>
      </c>
      <c r="H799" s="63">
        <v>0</v>
      </c>
      <c r="I799" s="63">
        <v>0</v>
      </c>
      <c r="J799" s="63">
        <v>0</v>
      </c>
      <c r="K799" s="63"/>
      <c r="L799" s="55">
        <v>222883.86136800001</v>
      </c>
      <c r="M799" s="63">
        <v>0</v>
      </c>
      <c r="N799" s="63">
        <v>0</v>
      </c>
      <c r="O799" s="63">
        <v>0</v>
      </c>
      <c r="P799" s="63">
        <v>0</v>
      </c>
      <c r="Q799" s="63">
        <v>0</v>
      </c>
      <c r="R799" s="63"/>
      <c r="S799" s="63"/>
      <c r="T799" s="64">
        <v>182593.96767000001</v>
      </c>
      <c r="U799" s="205"/>
    </row>
    <row r="800" spans="1:21" x14ac:dyDescent="0.25">
      <c r="A800" s="193">
        <f t="shared" si="69"/>
        <v>778</v>
      </c>
      <c r="B800" s="107">
        <f t="shared" si="70"/>
        <v>318</v>
      </c>
      <c r="C800" s="53" t="s">
        <v>224</v>
      </c>
      <c r="D800" s="53" t="s">
        <v>726</v>
      </c>
      <c r="E800" s="110">
        <f t="shared" si="68"/>
        <v>3137273.6384000001</v>
      </c>
      <c r="F800" s="55"/>
      <c r="G800" s="63">
        <v>3070135.98253824</v>
      </c>
      <c r="H800" s="63">
        <v>0</v>
      </c>
      <c r="I800" s="63">
        <v>0</v>
      </c>
      <c r="J800" s="63">
        <v>0</v>
      </c>
      <c r="K800" s="63"/>
      <c r="L800" s="55"/>
      <c r="M800" s="63">
        <v>0</v>
      </c>
      <c r="N800" s="63">
        <v>0</v>
      </c>
      <c r="O800" s="63">
        <v>0</v>
      </c>
      <c r="P800" s="63">
        <v>0</v>
      </c>
      <c r="Q800" s="63">
        <v>0</v>
      </c>
      <c r="R800" s="63"/>
      <c r="S800" s="63"/>
      <c r="T800" s="64">
        <v>67137.655861759995</v>
      </c>
      <c r="U800" s="205"/>
    </row>
    <row r="801" spans="1:21" x14ac:dyDescent="0.25">
      <c r="A801" s="193">
        <f t="shared" si="69"/>
        <v>779</v>
      </c>
      <c r="B801" s="107">
        <f t="shared" si="70"/>
        <v>319</v>
      </c>
      <c r="C801" s="53" t="s">
        <v>224</v>
      </c>
      <c r="D801" s="53" t="s">
        <v>727</v>
      </c>
      <c r="E801" s="62">
        <f t="shared" si="68"/>
        <v>7981094.4549000002</v>
      </c>
      <c r="F801" s="55">
        <v>5493165.2300000004</v>
      </c>
      <c r="G801" s="63"/>
      <c r="H801" s="63">
        <v>2109950.6526000001</v>
      </c>
      <c r="I801" s="63">
        <v>0</v>
      </c>
      <c r="J801" s="63">
        <v>0</v>
      </c>
      <c r="K801" s="63"/>
      <c r="L801" s="55">
        <v>222783.73884480001</v>
      </c>
      <c r="M801" s="63">
        <v>0</v>
      </c>
      <c r="N801" s="63">
        <v>0</v>
      </c>
      <c r="O801" s="63">
        <v>0</v>
      </c>
      <c r="P801" s="63">
        <v>0</v>
      </c>
      <c r="Q801" s="63">
        <v>0</v>
      </c>
      <c r="R801" s="63"/>
      <c r="S801" s="63"/>
      <c r="T801" s="64">
        <v>155194.83345519999</v>
      </c>
      <c r="U801" s="205"/>
    </row>
    <row r="802" spans="1:21" x14ac:dyDescent="0.25">
      <c r="A802" s="193">
        <f t="shared" si="69"/>
        <v>780</v>
      </c>
      <c r="B802" s="107">
        <f t="shared" si="70"/>
        <v>320</v>
      </c>
      <c r="C802" s="53" t="s">
        <v>224</v>
      </c>
      <c r="D802" s="107" t="s">
        <v>728</v>
      </c>
      <c r="E802" s="62">
        <f t="shared" ref="E802:E865" si="71">SUBTOTAL(9, F802:T802)</f>
        <v>2261941.7774622603</v>
      </c>
      <c r="F802" s="55">
        <v>2133898.66</v>
      </c>
      <c r="G802" s="63">
        <v>0</v>
      </c>
      <c r="H802" s="63">
        <v>0</v>
      </c>
      <c r="I802" s="63">
        <v>0</v>
      </c>
      <c r="J802" s="63">
        <v>0</v>
      </c>
      <c r="K802" s="63"/>
      <c r="L802" s="55"/>
      <c r="M802" s="63">
        <v>0</v>
      </c>
      <c r="N802" s="63">
        <v>0</v>
      </c>
      <c r="O802" s="63">
        <v>0</v>
      </c>
      <c r="P802" s="63">
        <v>0</v>
      </c>
      <c r="Q802" s="63">
        <v>0</v>
      </c>
      <c r="R802" s="63"/>
      <c r="S802" s="63"/>
      <c r="T802" s="64">
        <v>128043.11746225999</v>
      </c>
      <c r="U802" s="205"/>
    </row>
    <row r="803" spans="1:21" x14ac:dyDescent="0.25">
      <c r="A803" s="193">
        <f t="shared" ref="A803:A851" si="72">+A802+1</f>
        <v>781</v>
      </c>
      <c r="B803" s="107">
        <f t="shared" si="70"/>
        <v>321</v>
      </c>
      <c r="C803" s="53" t="s">
        <v>224</v>
      </c>
      <c r="D803" s="53" t="s">
        <v>729</v>
      </c>
      <c r="E803" s="110">
        <f t="shared" si="71"/>
        <v>4271050</v>
      </c>
      <c r="F803" s="55"/>
      <c r="G803" s="63"/>
      <c r="H803" s="63"/>
      <c r="I803" s="63"/>
      <c r="J803" s="63"/>
      <c r="K803" s="63"/>
      <c r="L803" s="55"/>
      <c r="M803" s="63">
        <v>4012463.5488</v>
      </c>
      <c r="N803" s="63"/>
      <c r="O803" s="63"/>
      <c r="P803" s="63"/>
      <c r="Q803" s="63"/>
      <c r="R803" s="63">
        <v>128131.5</v>
      </c>
      <c r="S803" s="63">
        <v>42710.5</v>
      </c>
      <c r="T803" s="64">
        <v>87744.451199999996</v>
      </c>
      <c r="U803" s="205"/>
    </row>
    <row r="804" spans="1:21" x14ac:dyDescent="0.25">
      <c r="A804" s="193">
        <f t="shared" si="72"/>
        <v>782</v>
      </c>
      <c r="B804" s="107">
        <f t="shared" si="70"/>
        <v>322</v>
      </c>
      <c r="C804" s="53" t="s">
        <v>224</v>
      </c>
      <c r="D804" s="53" t="s">
        <v>731</v>
      </c>
      <c r="E804" s="62">
        <f t="shared" si="71"/>
        <v>3195363.8498400003</v>
      </c>
      <c r="F804" s="55">
        <v>0</v>
      </c>
      <c r="G804" s="63">
        <v>0</v>
      </c>
      <c r="H804" s="63">
        <v>0</v>
      </c>
      <c r="I804" s="63">
        <v>0</v>
      </c>
      <c r="J804" s="63">
        <v>0</v>
      </c>
      <c r="K804" s="63"/>
      <c r="L804" s="55"/>
      <c r="M804" s="63">
        <v>0</v>
      </c>
      <c r="N804" s="63">
        <v>3054781.0748700001</v>
      </c>
      <c r="O804" s="63">
        <v>0</v>
      </c>
      <c r="P804" s="63">
        <v>0</v>
      </c>
      <c r="Q804" s="63">
        <v>0</v>
      </c>
      <c r="R804" s="63"/>
      <c r="S804" s="63"/>
      <c r="T804" s="64">
        <v>140582.77497</v>
      </c>
      <c r="U804" s="205"/>
    </row>
    <row r="805" spans="1:21" x14ac:dyDescent="0.25">
      <c r="A805" s="193">
        <f t="shared" si="72"/>
        <v>783</v>
      </c>
      <c r="B805" s="107">
        <f t="shared" si="70"/>
        <v>323</v>
      </c>
      <c r="C805" s="53" t="s">
        <v>732</v>
      </c>
      <c r="D805" s="53" t="s">
        <v>733</v>
      </c>
      <c r="E805" s="110">
        <f t="shared" si="71"/>
        <v>6594810.3756359806</v>
      </c>
      <c r="F805" s="55">
        <v>3861288.84626394</v>
      </c>
      <c r="G805" s="63">
        <v>2438504.2200000002</v>
      </c>
      <c r="H805" s="63">
        <v>0</v>
      </c>
      <c r="I805" s="63">
        <v>0</v>
      </c>
      <c r="J805" s="63">
        <v>0</v>
      </c>
      <c r="K805" s="63"/>
      <c r="L805" s="55">
        <v>157012.13129195999</v>
      </c>
      <c r="M805" s="63">
        <v>0</v>
      </c>
      <c r="N805" s="63">
        <v>0</v>
      </c>
      <c r="O805" s="63">
        <v>0</v>
      </c>
      <c r="P805" s="63">
        <v>0</v>
      </c>
      <c r="Q805" s="63">
        <v>0</v>
      </c>
      <c r="R805" s="63"/>
      <c r="S805" s="63"/>
      <c r="T805" s="64">
        <v>138005.17808007999</v>
      </c>
      <c r="U805" s="205"/>
    </row>
    <row r="806" spans="1:21" x14ac:dyDescent="0.25">
      <c r="A806" s="193">
        <f t="shared" si="72"/>
        <v>784</v>
      </c>
      <c r="B806" s="107">
        <f t="shared" si="70"/>
        <v>324</v>
      </c>
      <c r="C806" s="53" t="s">
        <v>244</v>
      </c>
      <c r="D806" s="107" t="s">
        <v>245</v>
      </c>
      <c r="E806" s="62">
        <f t="shared" si="71"/>
        <v>19747257.494667001</v>
      </c>
      <c r="F806" s="55">
        <v>13442149.36827</v>
      </c>
      <c r="G806" s="63">
        <v>4980833.6754120002</v>
      </c>
      <c r="H806" s="63">
        <v>0</v>
      </c>
      <c r="I806" s="63">
        <v>0</v>
      </c>
      <c r="J806" s="63">
        <v>0</v>
      </c>
      <c r="K806" s="63"/>
      <c r="L806" s="55">
        <v>406248.53806488001</v>
      </c>
      <c r="M806" s="63">
        <v>0</v>
      </c>
      <c r="N806" s="63"/>
      <c r="O806" s="63">
        <v>0</v>
      </c>
      <c r="P806" s="63">
        <v>0</v>
      </c>
      <c r="Q806" s="63">
        <v>0</v>
      </c>
      <c r="R806" s="63"/>
      <c r="S806" s="63"/>
      <c r="T806" s="64">
        <v>918025.91292012006</v>
      </c>
      <c r="U806" s="205"/>
    </row>
    <row r="807" spans="1:21" x14ac:dyDescent="0.25">
      <c r="A807" s="193">
        <f t="shared" si="72"/>
        <v>785</v>
      </c>
      <c r="B807" s="107">
        <f t="shared" si="70"/>
        <v>325</v>
      </c>
      <c r="C807" s="53" t="s">
        <v>244</v>
      </c>
      <c r="D807" s="107" t="s">
        <v>246</v>
      </c>
      <c r="E807" s="62">
        <f t="shared" si="71"/>
        <v>24458262.938599996</v>
      </c>
      <c r="F807" s="55">
        <v>13364467.924122</v>
      </c>
      <c r="G807" s="63">
        <v>4951357.8128279997</v>
      </c>
      <c r="H807" s="63">
        <v>5214934.7490659999</v>
      </c>
      <c r="I807" s="63">
        <v>0</v>
      </c>
      <c r="J807" s="63">
        <v>0</v>
      </c>
      <c r="K807" s="63"/>
      <c r="L807" s="55">
        <v>404095.62569795997</v>
      </c>
      <c r="M807" s="63">
        <v>0</v>
      </c>
      <c r="N807" s="63"/>
      <c r="O807" s="63">
        <v>0</v>
      </c>
      <c r="P807" s="63">
        <v>0</v>
      </c>
      <c r="Q807" s="63">
        <v>0</v>
      </c>
      <c r="R807" s="63"/>
      <c r="S807" s="63"/>
      <c r="T807" s="64">
        <v>523406.82688603998</v>
      </c>
      <c r="U807" s="205"/>
    </row>
    <row r="808" spans="1:21" x14ac:dyDescent="0.25">
      <c r="A808" s="193">
        <f t="shared" si="72"/>
        <v>786</v>
      </c>
      <c r="B808" s="107">
        <f t="shared" si="70"/>
        <v>326</v>
      </c>
      <c r="C808" s="53" t="s">
        <v>244</v>
      </c>
      <c r="D808" s="53" t="s">
        <v>734</v>
      </c>
      <c r="E808" s="110">
        <f t="shared" si="71"/>
        <v>22839745.97071578</v>
      </c>
      <c r="F808" s="55">
        <v>8438905.9800000004</v>
      </c>
      <c r="G808" s="63"/>
      <c r="H808" s="63">
        <v>0</v>
      </c>
      <c r="I808" s="63">
        <v>0</v>
      </c>
      <c r="J808" s="63">
        <v>0</v>
      </c>
      <c r="K808" s="63"/>
      <c r="L808" s="55">
        <v>229105.55551800001</v>
      </c>
      <c r="M808" s="63">
        <v>0</v>
      </c>
      <c r="N808" s="63">
        <v>14014962.836657999</v>
      </c>
      <c r="O808" s="63">
        <v>0</v>
      </c>
      <c r="P808" s="63">
        <v>0</v>
      </c>
      <c r="Q808" s="63">
        <v>0</v>
      </c>
      <c r="R808" s="63"/>
      <c r="S808" s="63"/>
      <c r="T808" s="64">
        <v>156771.59853978001</v>
      </c>
      <c r="U808" s="205"/>
    </row>
    <row r="809" spans="1:21" x14ac:dyDescent="0.25">
      <c r="A809" s="193">
        <f t="shared" si="72"/>
        <v>787</v>
      </c>
      <c r="B809" s="107">
        <f t="shared" si="70"/>
        <v>327</v>
      </c>
      <c r="C809" s="53" t="s">
        <v>244</v>
      </c>
      <c r="D809" s="53" t="s">
        <v>735</v>
      </c>
      <c r="E809" s="110">
        <f t="shared" si="71"/>
        <v>7269616.2805000003</v>
      </c>
      <c r="F809" s="55">
        <v>6886697.2620973801</v>
      </c>
      <c r="G809" s="63"/>
      <c r="H809" s="63">
        <v>0</v>
      </c>
      <c r="I809" s="63">
        <v>0</v>
      </c>
      <c r="J809" s="63">
        <v>0</v>
      </c>
      <c r="K809" s="63"/>
      <c r="L809" s="55">
        <v>227349.22999992</v>
      </c>
      <c r="M809" s="63">
        <v>0</v>
      </c>
      <c r="N809" s="63"/>
      <c r="O809" s="63">
        <v>0</v>
      </c>
      <c r="P809" s="63">
        <v>0</v>
      </c>
      <c r="Q809" s="63">
        <v>0</v>
      </c>
      <c r="R809" s="63"/>
      <c r="S809" s="63"/>
      <c r="T809" s="64">
        <v>155569.78840270001</v>
      </c>
      <c r="U809" s="205"/>
    </row>
    <row r="810" spans="1:21" x14ac:dyDescent="0.25">
      <c r="A810" s="193">
        <f t="shared" si="72"/>
        <v>788</v>
      </c>
      <c r="B810" s="107">
        <f t="shared" si="70"/>
        <v>328</v>
      </c>
      <c r="C810" s="53" t="s">
        <v>244</v>
      </c>
      <c r="D810" s="107" t="s">
        <v>736</v>
      </c>
      <c r="E810" s="62">
        <f t="shared" si="71"/>
        <v>16843607.011849999</v>
      </c>
      <c r="F810" s="55">
        <v>7387365.7431420004</v>
      </c>
      <c r="G810" s="63">
        <v>2724118.5447</v>
      </c>
      <c r="H810" s="63"/>
      <c r="I810" s="63"/>
      <c r="J810" s="63"/>
      <c r="K810" s="63"/>
      <c r="L810" s="55">
        <v>224044.32360912001</v>
      </c>
      <c r="M810" s="63">
        <v>0</v>
      </c>
      <c r="N810" s="63">
        <v>6282061.3226500005</v>
      </c>
      <c r="O810" s="63">
        <v>0</v>
      </c>
      <c r="P810" s="63">
        <v>0</v>
      </c>
      <c r="Q810" s="63">
        <v>0</v>
      </c>
      <c r="R810" s="63"/>
      <c r="S810" s="63"/>
      <c r="T810" s="64">
        <v>226017.07774887999</v>
      </c>
      <c r="U810" s="205"/>
    </row>
    <row r="811" spans="1:21" x14ac:dyDescent="0.25">
      <c r="A811" s="193">
        <f t="shared" si="72"/>
        <v>789</v>
      </c>
      <c r="B811" s="107">
        <f t="shared" si="70"/>
        <v>329</v>
      </c>
      <c r="C811" s="53" t="s">
        <v>737</v>
      </c>
      <c r="D811" s="53" t="s">
        <v>738</v>
      </c>
      <c r="E811" s="62">
        <f t="shared" si="71"/>
        <v>39105310.51493828</v>
      </c>
      <c r="F811" s="55"/>
      <c r="G811" s="63"/>
      <c r="H811" s="63"/>
      <c r="I811" s="63"/>
      <c r="J811" s="63"/>
      <c r="K811" s="63"/>
      <c r="L811" s="55"/>
      <c r="M811" s="63"/>
      <c r="N811" s="63">
        <v>38268456.8699186</v>
      </c>
      <c r="O811" s="63"/>
      <c r="P811" s="63"/>
      <c r="Q811" s="63"/>
      <c r="R811" s="63"/>
      <c r="S811" s="63"/>
      <c r="T811" s="64">
        <v>836853.64501968003</v>
      </c>
      <c r="U811" s="205"/>
    </row>
    <row r="812" spans="1:21" x14ac:dyDescent="0.25">
      <c r="A812" s="193">
        <f t="shared" si="72"/>
        <v>790</v>
      </c>
      <c r="B812" s="107">
        <f t="shared" si="70"/>
        <v>330</v>
      </c>
      <c r="C812" s="53" t="s">
        <v>737</v>
      </c>
      <c r="D812" s="53" t="s">
        <v>739</v>
      </c>
      <c r="E812" s="62">
        <f t="shared" si="71"/>
        <v>22010479.830000002</v>
      </c>
      <c r="F812" s="55">
        <v>0</v>
      </c>
      <c r="G812" s="63">
        <v>0</v>
      </c>
      <c r="H812" s="63">
        <v>0</v>
      </c>
      <c r="I812" s="63">
        <v>0</v>
      </c>
      <c r="J812" s="63">
        <v>0</v>
      </c>
      <c r="K812" s="63"/>
      <c r="L812" s="55"/>
      <c r="M812" s="63">
        <v>0</v>
      </c>
      <c r="N812" s="63">
        <v>21539455.561638001</v>
      </c>
      <c r="O812" s="63">
        <v>0</v>
      </c>
      <c r="P812" s="63">
        <v>0</v>
      </c>
      <c r="Q812" s="63">
        <v>0</v>
      </c>
      <c r="R812" s="63"/>
      <c r="S812" s="63"/>
      <c r="T812" s="64">
        <v>471024.268362</v>
      </c>
      <c r="U812" s="205"/>
    </row>
    <row r="813" spans="1:21" x14ac:dyDescent="0.25">
      <c r="A813" s="193">
        <f t="shared" si="72"/>
        <v>791</v>
      </c>
      <c r="B813" s="107">
        <f t="shared" si="70"/>
        <v>331</v>
      </c>
      <c r="C813" s="53" t="s">
        <v>737</v>
      </c>
      <c r="D813" s="53" t="s">
        <v>740</v>
      </c>
      <c r="E813" s="62">
        <f t="shared" si="71"/>
        <v>12502160.831344573</v>
      </c>
      <c r="F813" s="55">
        <v>0</v>
      </c>
      <c r="G813" s="63">
        <v>0</v>
      </c>
      <c r="H813" s="63">
        <v>0</v>
      </c>
      <c r="I813" s="63">
        <v>0</v>
      </c>
      <c r="J813" s="63">
        <v>0</v>
      </c>
      <c r="K813" s="63"/>
      <c r="L813" s="55"/>
      <c r="M813" s="63">
        <v>0</v>
      </c>
      <c r="N813" s="63">
        <v>12234614.589553799</v>
      </c>
      <c r="O813" s="63">
        <v>0</v>
      </c>
      <c r="P813" s="63">
        <v>0</v>
      </c>
      <c r="Q813" s="63">
        <v>0</v>
      </c>
      <c r="R813" s="63"/>
      <c r="S813" s="63"/>
      <c r="T813" s="64">
        <v>267546.241790773</v>
      </c>
      <c r="U813" s="205"/>
    </row>
    <row r="814" spans="1:21" ht="12.75" customHeight="1" x14ac:dyDescent="0.25">
      <c r="A814" s="193">
        <f t="shared" si="72"/>
        <v>792</v>
      </c>
      <c r="B814" s="107">
        <f t="shared" si="70"/>
        <v>332</v>
      </c>
      <c r="C814" s="53" t="s">
        <v>250</v>
      </c>
      <c r="D814" s="53" t="s">
        <v>251</v>
      </c>
      <c r="E814" s="62">
        <f t="shared" si="71"/>
        <v>1263037.9697638124</v>
      </c>
      <c r="F814" s="55"/>
      <c r="G814" s="63">
        <v>880894.3</v>
      </c>
      <c r="H814" s="63">
        <v>292852.17</v>
      </c>
      <c r="I814" s="63"/>
      <c r="J814" s="63">
        <v>0</v>
      </c>
      <c r="K814" s="63"/>
      <c r="L814" s="55"/>
      <c r="M814" s="63">
        <v>0</v>
      </c>
      <c r="N814" s="63"/>
      <c r="O814" s="63"/>
      <c r="P814" s="63"/>
      <c r="Q814" s="63"/>
      <c r="R814" s="63"/>
      <c r="S814" s="63"/>
      <c r="T814" s="64">
        <v>89291.499763812506</v>
      </c>
      <c r="U814" s="205"/>
    </row>
    <row r="815" spans="1:21" x14ac:dyDescent="0.25">
      <c r="A815" s="193">
        <f t="shared" si="72"/>
        <v>793</v>
      </c>
      <c r="B815" s="107">
        <f t="shared" si="70"/>
        <v>333</v>
      </c>
      <c r="C815" s="53" t="s">
        <v>250</v>
      </c>
      <c r="D815" s="53" t="s">
        <v>252</v>
      </c>
      <c r="E815" s="62">
        <f t="shared" si="71"/>
        <v>2360734.5672872001</v>
      </c>
      <c r="F815" s="55">
        <v>0</v>
      </c>
      <c r="G815" s="63">
        <v>0</v>
      </c>
      <c r="H815" s="63">
        <v>2128126.3097030199</v>
      </c>
      <c r="I815" s="63"/>
      <c r="J815" s="63"/>
      <c r="K815" s="63"/>
      <c r="L815" s="55"/>
      <c r="M815" s="63"/>
      <c r="N815" s="63"/>
      <c r="O815" s="63"/>
      <c r="P815" s="63"/>
      <c r="Q815" s="63"/>
      <c r="R815" s="63"/>
      <c r="S815" s="63"/>
      <c r="T815" s="64">
        <v>232608.25758418001</v>
      </c>
      <c r="U815" s="205"/>
    </row>
    <row r="816" spans="1:21" x14ac:dyDescent="0.25">
      <c r="A816" s="193">
        <f t="shared" si="72"/>
        <v>794</v>
      </c>
      <c r="B816" s="107">
        <f t="shared" si="70"/>
        <v>334</v>
      </c>
      <c r="C816" s="53" t="s">
        <v>250</v>
      </c>
      <c r="D816" s="53" t="s">
        <v>498</v>
      </c>
      <c r="E816" s="62">
        <f t="shared" si="71"/>
        <v>2623439.2566555743</v>
      </c>
      <c r="F816" s="55">
        <v>0</v>
      </c>
      <c r="G816" s="63">
        <v>0</v>
      </c>
      <c r="H816" s="63">
        <v>2428644.2700873101</v>
      </c>
      <c r="I816" s="63">
        <v>0</v>
      </c>
      <c r="J816" s="63">
        <v>0</v>
      </c>
      <c r="K816" s="63"/>
      <c r="L816" s="55">
        <v>0</v>
      </c>
      <c r="M816" s="63">
        <v>0</v>
      </c>
      <c r="N816" s="63">
        <v>0</v>
      </c>
      <c r="O816" s="63">
        <v>0</v>
      </c>
      <c r="P816" s="63">
        <v>0</v>
      </c>
      <c r="Q816" s="63"/>
      <c r="R816" s="63"/>
      <c r="S816" s="63"/>
      <c r="T816" s="64">
        <v>194794.98656826399</v>
      </c>
      <c r="U816" s="205"/>
    </row>
    <row r="817" spans="1:21" x14ac:dyDescent="0.25">
      <c r="A817" s="193">
        <f t="shared" si="72"/>
        <v>795</v>
      </c>
      <c r="B817" s="107">
        <f t="shared" si="70"/>
        <v>335</v>
      </c>
      <c r="C817" s="53" t="s">
        <v>250</v>
      </c>
      <c r="D817" s="53" t="s">
        <v>499</v>
      </c>
      <c r="E817" s="62">
        <f t="shared" si="71"/>
        <v>3643336.8283751379</v>
      </c>
      <c r="F817" s="55">
        <v>1130532.8799999999</v>
      </c>
      <c r="G817" s="63">
        <v>322661.12</v>
      </c>
      <c r="H817" s="63">
        <v>2032941.39</v>
      </c>
      <c r="I817" s="63"/>
      <c r="J817" s="63">
        <v>0</v>
      </c>
      <c r="K817" s="63"/>
      <c r="L817" s="55"/>
      <c r="M817" s="63">
        <v>0</v>
      </c>
      <c r="N817" s="63">
        <v>0</v>
      </c>
      <c r="O817" s="63">
        <v>0</v>
      </c>
      <c r="P817" s="63">
        <v>0</v>
      </c>
      <c r="Q817" s="63"/>
      <c r="R817" s="63"/>
      <c r="S817" s="63"/>
      <c r="T817" s="64">
        <v>157201.43837513801</v>
      </c>
      <c r="U817" s="205"/>
    </row>
    <row r="818" spans="1:21" x14ac:dyDescent="0.25">
      <c r="A818" s="193">
        <f t="shared" si="72"/>
        <v>796</v>
      </c>
      <c r="B818" s="107">
        <f t="shared" si="70"/>
        <v>336</v>
      </c>
      <c r="C818" s="53" t="s">
        <v>250</v>
      </c>
      <c r="D818" s="53" t="s">
        <v>253</v>
      </c>
      <c r="E818" s="62">
        <f t="shared" si="71"/>
        <v>3913860.7417803602</v>
      </c>
      <c r="F818" s="55">
        <v>0</v>
      </c>
      <c r="G818" s="63">
        <v>0</v>
      </c>
      <c r="H818" s="63">
        <v>1228652.79</v>
      </c>
      <c r="I818" s="63">
        <v>1678642.03</v>
      </c>
      <c r="J818" s="63">
        <v>0</v>
      </c>
      <c r="K818" s="63"/>
      <c r="L818" s="55"/>
      <c r="M818" s="63">
        <v>0</v>
      </c>
      <c r="N818" s="63"/>
      <c r="O818" s="63">
        <v>0</v>
      </c>
      <c r="P818" s="63">
        <v>0</v>
      </c>
      <c r="Q818" s="63"/>
      <c r="R818" s="63"/>
      <c r="S818" s="63"/>
      <c r="T818" s="64">
        <v>1006565.92178036</v>
      </c>
      <c r="U818" s="205"/>
    </row>
    <row r="819" spans="1:21" x14ac:dyDescent="0.25">
      <c r="A819" s="193">
        <f t="shared" si="72"/>
        <v>797</v>
      </c>
      <c r="B819" s="107">
        <f t="shared" si="70"/>
        <v>337</v>
      </c>
      <c r="C819" s="53" t="s">
        <v>250</v>
      </c>
      <c r="D819" s="53" t="s">
        <v>497</v>
      </c>
      <c r="E819" s="62">
        <f t="shared" si="71"/>
        <v>1704412.1066748397</v>
      </c>
      <c r="F819" s="55">
        <v>0</v>
      </c>
      <c r="G819" s="63">
        <v>0</v>
      </c>
      <c r="H819" s="63">
        <v>1076716.6299999999</v>
      </c>
      <c r="I819" s="63"/>
      <c r="J819" s="63">
        <v>0</v>
      </c>
      <c r="K819" s="63"/>
      <c r="L819" s="55"/>
      <c r="M819" s="63">
        <v>0</v>
      </c>
      <c r="N819" s="63"/>
      <c r="O819" s="63">
        <v>0</v>
      </c>
      <c r="P819" s="63"/>
      <c r="Q819" s="63"/>
      <c r="R819" s="63"/>
      <c r="S819" s="63"/>
      <c r="T819" s="64">
        <v>627695.47667483997</v>
      </c>
      <c r="U819" s="205"/>
    </row>
    <row r="820" spans="1:21" x14ac:dyDescent="0.25">
      <c r="A820" s="193">
        <f t="shared" si="72"/>
        <v>798</v>
      </c>
      <c r="B820" s="107">
        <f t="shared" si="70"/>
        <v>338</v>
      </c>
      <c r="C820" s="53" t="s">
        <v>250</v>
      </c>
      <c r="D820" s="53" t="s">
        <v>741</v>
      </c>
      <c r="E820" s="62">
        <f t="shared" si="71"/>
        <v>8194296.4237568062</v>
      </c>
      <c r="F820" s="55"/>
      <c r="G820" s="63"/>
      <c r="H820" s="63">
        <v>2187835.78837976</v>
      </c>
      <c r="I820" s="63"/>
      <c r="J820" s="63"/>
      <c r="K820" s="63"/>
      <c r="L820" s="55"/>
      <c r="M820" s="63"/>
      <c r="N820" s="63"/>
      <c r="O820" s="63"/>
      <c r="P820" s="63"/>
      <c r="Q820" s="63">
        <v>5831102.6919086501</v>
      </c>
      <c r="R820" s="63"/>
      <c r="S820" s="63"/>
      <c r="T820" s="64">
        <v>175357.943468396</v>
      </c>
      <c r="U820" s="205"/>
    </row>
    <row r="821" spans="1:21" x14ac:dyDescent="0.25">
      <c r="A821" s="193">
        <f t="shared" si="72"/>
        <v>799</v>
      </c>
      <c r="B821" s="107">
        <f t="shared" si="70"/>
        <v>339</v>
      </c>
      <c r="C821" s="53" t="s">
        <v>421</v>
      </c>
      <c r="D821" s="53" t="s">
        <v>742</v>
      </c>
      <c r="E821" s="62">
        <f t="shared" si="71"/>
        <v>1811123.542842</v>
      </c>
      <c r="F821" s="55"/>
      <c r="G821" s="63">
        <v>1775821.500432</v>
      </c>
      <c r="H821" s="63">
        <v>0</v>
      </c>
      <c r="I821" s="63">
        <v>0</v>
      </c>
      <c r="J821" s="63">
        <v>0</v>
      </c>
      <c r="K821" s="63"/>
      <c r="L821" s="55"/>
      <c r="M821" s="63">
        <v>0</v>
      </c>
      <c r="N821" s="63">
        <v>0</v>
      </c>
      <c r="O821" s="63">
        <v>0</v>
      </c>
      <c r="P821" s="63"/>
      <c r="Q821" s="63">
        <v>0</v>
      </c>
      <c r="R821" s="63"/>
      <c r="S821" s="63"/>
      <c r="T821" s="64">
        <v>35302.042410000002</v>
      </c>
      <c r="U821" s="205"/>
    </row>
    <row r="822" spans="1:21" x14ac:dyDescent="0.25">
      <c r="A822" s="193">
        <f t="shared" si="72"/>
        <v>800</v>
      </c>
      <c r="B822" s="107">
        <f t="shared" si="70"/>
        <v>340</v>
      </c>
      <c r="C822" s="53" t="s">
        <v>421</v>
      </c>
      <c r="D822" s="107" t="s">
        <v>501</v>
      </c>
      <c r="E822" s="62">
        <f t="shared" si="71"/>
        <v>727619.20242600003</v>
      </c>
      <c r="F822" s="55"/>
      <c r="G822" s="63">
        <v>539640.37</v>
      </c>
      <c r="H822" s="63">
        <v>0</v>
      </c>
      <c r="I822" s="63">
        <v>0</v>
      </c>
      <c r="J822" s="63">
        <v>0</v>
      </c>
      <c r="K822" s="63"/>
      <c r="L822" s="55"/>
      <c r="M822" s="63">
        <v>0</v>
      </c>
      <c r="N822" s="63"/>
      <c r="O822" s="63">
        <v>0</v>
      </c>
      <c r="P822" s="63">
        <v>0</v>
      </c>
      <c r="Q822" s="63">
        <v>0</v>
      </c>
      <c r="R822" s="63"/>
      <c r="S822" s="63"/>
      <c r="T822" s="64">
        <v>187978.83242600001</v>
      </c>
      <c r="U822" s="205"/>
    </row>
    <row r="823" spans="1:21" x14ac:dyDescent="0.25">
      <c r="A823" s="193">
        <f t="shared" si="72"/>
        <v>801</v>
      </c>
      <c r="B823" s="107">
        <f t="shared" si="70"/>
        <v>341</v>
      </c>
      <c r="C823" s="53" t="s">
        <v>421</v>
      </c>
      <c r="D823" s="53" t="s">
        <v>743</v>
      </c>
      <c r="E823" s="62">
        <f t="shared" si="71"/>
        <v>3711892.4902320001</v>
      </c>
      <c r="F823" s="55">
        <v>1901997.53</v>
      </c>
      <c r="G823" s="63">
        <v>815853.27133799996</v>
      </c>
      <c r="H823" s="63">
        <v>842442.90979800001</v>
      </c>
      <c r="I823" s="63">
        <v>0</v>
      </c>
      <c r="J823" s="63">
        <v>0</v>
      </c>
      <c r="K823" s="63"/>
      <c r="L823" s="55">
        <v>75038.982825240004</v>
      </c>
      <c r="M823" s="63">
        <v>0</v>
      </c>
      <c r="N823" s="63">
        <v>0</v>
      </c>
      <c r="O823" s="63">
        <v>0</v>
      </c>
      <c r="P823" s="63">
        <v>0</v>
      </c>
      <c r="Q823" s="63">
        <v>0</v>
      </c>
      <c r="R823" s="63"/>
      <c r="S823" s="63"/>
      <c r="T823" s="64">
        <v>76559.796270759995</v>
      </c>
      <c r="U823" s="205"/>
    </row>
    <row r="824" spans="1:21" x14ac:dyDescent="0.25">
      <c r="A824" s="193">
        <f t="shared" si="72"/>
        <v>802</v>
      </c>
      <c r="B824" s="107">
        <f t="shared" si="70"/>
        <v>342</v>
      </c>
      <c r="C824" s="53" t="s">
        <v>421</v>
      </c>
      <c r="D824" s="107" t="s">
        <v>422</v>
      </c>
      <c r="E824" s="62">
        <f t="shared" si="71"/>
        <v>16135370.902177999</v>
      </c>
      <c r="F824" s="55">
        <v>6428842.3899999997</v>
      </c>
      <c r="G824" s="63">
        <v>1825378.91</v>
      </c>
      <c r="H824" s="63"/>
      <c r="I824" s="63"/>
      <c r="J824" s="63">
        <v>0</v>
      </c>
      <c r="K824" s="63"/>
      <c r="L824" s="55"/>
      <c r="M824" s="63">
        <v>0</v>
      </c>
      <c r="N824" s="63">
        <v>0</v>
      </c>
      <c r="O824" s="63">
        <v>0</v>
      </c>
      <c r="P824" s="63">
        <v>7416801.1399999997</v>
      </c>
      <c r="Q824" s="63">
        <v>0</v>
      </c>
      <c r="R824" s="63"/>
      <c r="S824" s="63"/>
      <c r="T824" s="64">
        <v>464348.46217800002</v>
      </c>
      <c r="U824" s="205"/>
    </row>
    <row r="825" spans="1:21" x14ac:dyDescent="0.25">
      <c r="A825" s="193">
        <f t="shared" si="72"/>
        <v>803</v>
      </c>
      <c r="B825" s="107">
        <f t="shared" si="70"/>
        <v>343</v>
      </c>
      <c r="C825" s="53" t="s">
        <v>421</v>
      </c>
      <c r="D825" s="53" t="s">
        <v>744</v>
      </c>
      <c r="E825" s="62">
        <f t="shared" si="71"/>
        <v>7768881.3499999996</v>
      </c>
      <c r="F825" s="55">
        <v>3912372.017862</v>
      </c>
      <c r="G825" s="63">
        <v>1821795.805494</v>
      </c>
      <c r="H825" s="63">
        <v>1868459.465754</v>
      </c>
      <c r="I825" s="63"/>
      <c r="J825" s="63">
        <v>0</v>
      </c>
      <c r="K825" s="63"/>
      <c r="L825" s="55"/>
      <c r="M825" s="63">
        <v>0</v>
      </c>
      <c r="N825" s="63">
        <v>0</v>
      </c>
      <c r="O825" s="63">
        <v>0</v>
      </c>
      <c r="P825" s="63">
        <v>0</v>
      </c>
      <c r="Q825" s="63">
        <v>0</v>
      </c>
      <c r="R825" s="63"/>
      <c r="S825" s="63"/>
      <c r="T825" s="64">
        <v>166254.06088999999</v>
      </c>
      <c r="U825" s="205"/>
    </row>
    <row r="826" spans="1:21" x14ac:dyDescent="0.25">
      <c r="A826" s="193">
        <f t="shared" si="72"/>
        <v>804</v>
      </c>
      <c r="B826" s="107">
        <f t="shared" si="70"/>
        <v>344</v>
      </c>
      <c r="C826" s="53" t="s">
        <v>421</v>
      </c>
      <c r="D826" s="53" t="s">
        <v>745</v>
      </c>
      <c r="E826" s="62">
        <f t="shared" si="71"/>
        <v>10164042.110000001</v>
      </c>
      <c r="F826" s="55">
        <v>6784576.1506740004</v>
      </c>
      <c r="G826" s="63">
        <v>3161955.458172</v>
      </c>
      <c r="H826" s="63">
        <v>0</v>
      </c>
      <c r="I826" s="63"/>
      <c r="J826" s="63">
        <v>0</v>
      </c>
      <c r="K826" s="63"/>
      <c r="L826" s="55"/>
      <c r="M826" s="63">
        <v>0</v>
      </c>
      <c r="N826" s="63">
        <v>0</v>
      </c>
      <c r="O826" s="63">
        <v>0</v>
      </c>
      <c r="P826" s="63">
        <v>0</v>
      </c>
      <c r="Q826" s="63">
        <v>0</v>
      </c>
      <c r="R826" s="63"/>
      <c r="S826" s="63"/>
      <c r="T826" s="64">
        <v>217510.501154</v>
      </c>
      <c r="U826" s="205"/>
    </row>
    <row r="827" spans="1:21" x14ac:dyDescent="0.25">
      <c r="A827" s="193">
        <f t="shared" si="72"/>
        <v>805</v>
      </c>
      <c r="B827" s="107">
        <f t="shared" si="70"/>
        <v>345</v>
      </c>
      <c r="C827" s="53" t="s">
        <v>423</v>
      </c>
      <c r="D827" s="53" t="s">
        <v>424</v>
      </c>
      <c r="E827" s="110">
        <f t="shared" si="71"/>
        <v>10362960.927733265</v>
      </c>
      <c r="F827" s="55">
        <v>6974205.8600000003</v>
      </c>
      <c r="G827" s="63"/>
      <c r="H827" s="63"/>
      <c r="I827" s="63">
        <v>3042760.85</v>
      </c>
      <c r="J827" s="63">
        <v>0</v>
      </c>
      <c r="K827" s="63"/>
      <c r="L827" s="55">
        <v>189247.51092296999</v>
      </c>
      <c r="M827" s="63"/>
      <c r="N827" s="63"/>
      <c r="O827" s="63"/>
      <c r="P827" s="63"/>
      <c r="Q827" s="63"/>
      <c r="R827" s="63"/>
      <c r="S827" s="63"/>
      <c r="T827" s="64">
        <v>156746.70681029299</v>
      </c>
      <c r="U827" s="205"/>
    </row>
    <row r="828" spans="1:21" x14ac:dyDescent="0.25">
      <c r="A828" s="193">
        <f t="shared" si="72"/>
        <v>806</v>
      </c>
      <c r="B828" s="107">
        <f t="shared" si="70"/>
        <v>346</v>
      </c>
      <c r="C828" s="53" t="s">
        <v>423</v>
      </c>
      <c r="D828" s="53" t="s">
        <v>426</v>
      </c>
      <c r="E828" s="110">
        <f t="shared" si="71"/>
        <v>4333951.7003086358</v>
      </c>
      <c r="F828" s="55"/>
      <c r="G828" s="63"/>
      <c r="H828" s="63"/>
      <c r="I828" s="63">
        <v>3971592.55</v>
      </c>
      <c r="J828" s="63"/>
      <c r="K828" s="63"/>
      <c r="L828" s="55"/>
      <c r="M828" s="63"/>
      <c r="N828" s="63"/>
      <c r="O828" s="63"/>
      <c r="P828" s="63"/>
      <c r="Q828" s="63"/>
      <c r="R828" s="63"/>
      <c r="S828" s="63"/>
      <c r="T828" s="64">
        <v>362359.15030863602</v>
      </c>
      <c r="U828" s="205"/>
    </row>
    <row r="829" spans="1:21" x14ac:dyDescent="0.25">
      <c r="A829" s="193">
        <f t="shared" si="72"/>
        <v>807</v>
      </c>
      <c r="B829" s="107">
        <f t="shared" si="70"/>
        <v>347</v>
      </c>
      <c r="C829" s="53" t="s">
        <v>423</v>
      </c>
      <c r="D829" s="53" t="s">
        <v>428</v>
      </c>
      <c r="E829" s="110">
        <f t="shared" si="71"/>
        <v>5639075.9206179809</v>
      </c>
      <c r="F829" s="55"/>
      <c r="G829" s="63"/>
      <c r="H829" s="63"/>
      <c r="I829" s="63">
        <v>4936837.75</v>
      </c>
      <c r="J829" s="63"/>
      <c r="K829" s="63"/>
      <c r="L829" s="55"/>
      <c r="M829" s="63"/>
      <c r="N829" s="63"/>
      <c r="O829" s="63"/>
      <c r="P829" s="63"/>
      <c r="Q829" s="63"/>
      <c r="R829" s="63"/>
      <c r="S829" s="63"/>
      <c r="T829" s="64">
        <v>702238.170617981</v>
      </c>
      <c r="U829" s="205"/>
    </row>
    <row r="830" spans="1:21" x14ac:dyDescent="0.25">
      <c r="A830" s="193">
        <f t="shared" si="72"/>
        <v>808</v>
      </c>
      <c r="B830" s="107">
        <f t="shared" si="70"/>
        <v>348</v>
      </c>
      <c r="C830" s="53" t="s">
        <v>423</v>
      </c>
      <c r="D830" s="53" t="s">
        <v>432</v>
      </c>
      <c r="E830" s="110">
        <f t="shared" si="71"/>
        <v>3565785.8615224799</v>
      </c>
      <c r="F830" s="55"/>
      <c r="G830" s="63"/>
      <c r="H830" s="63"/>
      <c r="I830" s="63">
        <v>2879401</v>
      </c>
      <c r="J830" s="63"/>
      <c r="K830" s="63"/>
      <c r="L830" s="55"/>
      <c r="M830" s="63"/>
      <c r="N830" s="63"/>
      <c r="O830" s="63"/>
      <c r="P830" s="63"/>
      <c r="Q830" s="63"/>
      <c r="R830" s="63"/>
      <c r="S830" s="63"/>
      <c r="T830" s="64">
        <v>686384.86152248003</v>
      </c>
      <c r="U830" s="205"/>
    </row>
    <row r="831" spans="1:21" x14ac:dyDescent="0.25">
      <c r="A831" s="193">
        <f t="shared" si="72"/>
        <v>809</v>
      </c>
      <c r="B831" s="107">
        <f t="shared" si="70"/>
        <v>349</v>
      </c>
      <c r="C831" s="53" t="s">
        <v>256</v>
      </c>
      <c r="D831" s="53" t="s">
        <v>436</v>
      </c>
      <c r="E831" s="62">
        <f t="shared" si="71"/>
        <v>12463088.199926931</v>
      </c>
      <c r="F831" s="55">
        <v>5809436.5199999996</v>
      </c>
      <c r="G831" s="63">
        <v>2662659.40133753</v>
      </c>
      <c r="H831" s="63"/>
      <c r="I831" s="63">
        <v>3072620.52</v>
      </c>
      <c r="J831" s="63">
        <v>0</v>
      </c>
      <c r="K831" s="63"/>
      <c r="L831" s="55">
        <v>255018.074922584</v>
      </c>
      <c r="M831" s="63"/>
      <c r="N831" s="63"/>
      <c r="O831" s="63">
        <v>0</v>
      </c>
      <c r="P831" s="63">
        <v>0</v>
      </c>
      <c r="Q831" s="63">
        <v>0</v>
      </c>
      <c r="R831" s="63"/>
      <c r="S831" s="63"/>
      <c r="T831" s="64">
        <v>663353.68366681703</v>
      </c>
      <c r="U831" s="205"/>
    </row>
    <row r="832" spans="1:21" x14ac:dyDescent="0.25">
      <c r="A832" s="193">
        <f t="shared" si="72"/>
        <v>810</v>
      </c>
      <c r="B832" s="107">
        <f t="shared" si="70"/>
        <v>350</v>
      </c>
      <c r="C832" s="53" t="s">
        <v>256</v>
      </c>
      <c r="D832" s="107" t="s">
        <v>258</v>
      </c>
      <c r="E832" s="62">
        <f t="shared" si="71"/>
        <v>7852669.346012</v>
      </c>
      <c r="F832" s="55">
        <v>0</v>
      </c>
      <c r="G832" s="63">
        <v>0</v>
      </c>
      <c r="H832" s="63">
        <v>0</v>
      </c>
      <c r="I832" s="63">
        <v>0</v>
      </c>
      <c r="J832" s="63">
        <v>0</v>
      </c>
      <c r="K832" s="63"/>
      <c r="L832" s="55"/>
      <c r="M832" s="63">
        <v>0</v>
      </c>
      <c r="N832" s="63"/>
      <c r="O832" s="63">
        <v>0</v>
      </c>
      <c r="P832" s="63">
        <v>0</v>
      </c>
      <c r="Q832" s="63">
        <v>7388743.1422140002</v>
      </c>
      <c r="R832" s="63"/>
      <c r="S832" s="63"/>
      <c r="T832" s="64">
        <v>463926.203798</v>
      </c>
      <c r="U832" s="205"/>
    </row>
    <row r="833" spans="1:22" x14ac:dyDescent="0.25">
      <c r="A833" s="193">
        <f t="shared" si="72"/>
        <v>811</v>
      </c>
      <c r="B833" s="107">
        <f t="shared" si="70"/>
        <v>351</v>
      </c>
      <c r="C833" s="53" t="s">
        <v>746</v>
      </c>
      <c r="D833" s="107" t="s">
        <v>747</v>
      </c>
      <c r="E833" s="62">
        <f t="shared" si="71"/>
        <v>16872412.73</v>
      </c>
      <c r="F833" s="55">
        <v>1683565.8969640001</v>
      </c>
      <c r="G833" s="63">
        <v>1040219.4703179999</v>
      </c>
      <c r="H833" s="63">
        <v>488517.72999399999</v>
      </c>
      <c r="I833" s="63">
        <v>423331.30508199998</v>
      </c>
      <c r="J833" s="63">
        <v>0</v>
      </c>
      <c r="K833" s="63"/>
      <c r="L833" s="55">
        <v>147640.393614</v>
      </c>
      <c r="M833" s="63">
        <v>0</v>
      </c>
      <c r="N833" s="63">
        <v>4805741.3532100003</v>
      </c>
      <c r="O833" s="63">
        <v>0</v>
      </c>
      <c r="P833" s="63">
        <v>4013795.974678</v>
      </c>
      <c r="Q833" s="63">
        <v>3549227.0136119998</v>
      </c>
      <c r="R833" s="63">
        <v>343161.21</v>
      </c>
      <c r="S833" s="63">
        <v>24000</v>
      </c>
      <c r="T833" s="64">
        <v>353212.38252799999</v>
      </c>
      <c r="U833" s="205"/>
    </row>
    <row r="834" spans="1:22" x14ac:dyDescent="0.25">
      <c r="A834" s="193">
        <f t="shared" si="72"/>
        <v>812</v>
      </c>
      <c r="B834" s="107">
        <f t="shared" si="70"/>
        <v>352</v>
      </c>
      <c r="C834" s="53" t="s">
        <v>437</v>
      </c>
      <c r="D834" s="53" t="s">
        <v>748</v>
      </c>
      <c r="E834" s="110">
        <f t="shared" si="71"/>
        <v>7117011.9564005621</v>
      </c>
      <c r="F834" s="55">
        <v>0</v>
      </c>
      <c r="G834" s="63">
        <v>0</v>
      </c>
      <c r="H834" s="63">
        <v>0</v>
      </c>
      <c r="I834" s="63">
        <v>0</v>
      </c>
      <c r="J834" s="63">
        <v>0</v>
      </c>
      <c r="K834" s="63"/>
      <c r="L834" s="55"/>
      <c r="M834" s="63">
        <v>0</v>
      </c>
      <c r="N834" s="63">
        <v>2736680.7350400002</v>
      </c>
      <c r="O834" s="63">
        <v>0</v>
      </c>
      <c r="P834" s="63">
        <v>0</v>
      </c>
      <c r="Q834" s="63">
        <v>4233749.7474075202</v>
      </c>
      <c r="R834" s="63"/>
      <c r="S834" s="63"/>
      <c r="T834" s="64">
        <v>146581.473953042</v>
      </c>
      <c r="U834" s="205"/>
    </row>
    <row r="835" spans="1:22" x14ac:dyDescent="0.25">
      <c r="A835" s="193">
        <f t="shared" si="72"/>
        <v>813</v>
      </c>
      <c r="B835" s="107">
        <f t="shared" si="70"/>
        <v>353</v>
      </c>
      <c r="C835" s="53" t="s">
        <v>437</v>
      </c>
      <c r="D835" s="107" t="s">
        <v>749</v>
      </c>
      <c r="E835" s="62">
        <f t="shared" si="71"/>
        <v>6636678.46</v>
      </c>
      <c r="F835" s="55">
        <v>1320658.3173839999</v>
      </c>
      <c r="G835" s="63">
        <v>0</v>
      </c>
      <c r="H835" s="63">
        <v>0</v>
      </c>
      <c r="I835" s="63">
        <v>737257.57992599998</v>
      </c>
      <c r="J835" s="63">
        <v>0</v>
      </c>
      <c r="K835" s="63"/>
      <c r="L835" s="55"/>
      <c r="M835" s="63">
        <v>0</v>
      </c>
      <c r="N835" s="63">
        <v>1613252.1332340001</v>
      </c>
      <c r="O835" s="63">
        <v>0</v>
      </c>
      <c r="P835" s="63">
        <v>2823485.5104120001</v>
      </c>
      <c r="Q835" s="63">
        <v>0</v>
      </c>
      <c r="R835" s="63"/>
      <c r="S835" s="63"/>
      <c r="T835" s="64">
        <v>142024.91904400001</v>
      </c>
      <c r="U835" s="205"/>
    </row>
    <row r="836" spans="1:22" x14ac:dyDescent="0.25">
      <c r="A836" s="193">
        <f t="shared" si="72"/>
        <v>814</v>
      </c>
      <c r="B836" s="107">
        <f t="shared" si="70"/>
        <v>354</v>
      </c>
      <c r="C836" s="53" t="s">
        <v>437</v>
      </c>
      <c r="D836" s="53" t="s">
        <v>750</v>
      </c>
      <c r="E836" s="110">
        <f t="shared" si="71"/>
        <v>2095559.6655218622</v>
      </c>
      <c r="F836" s="55">
        <v>0</v>
      </c>
      <c r="G836" s="63">
        <v>0</v>
      </c>
      <c r="H836" s="63">
        <v>135258.76977272399</v>
      </c>
      <c r="I836" s="63">
        <v>0</v>
      </c>
      <c r="J836" s="63">
        <v>0</v>
      </c>
      <c r="K836" s="63"/>
      <c r="L836" s="55"/>
      <c r="M836" s="63">
        <v>0</v>
      </c>
      <c r="N836" s="63">
        <v>0</v>
      </c>
      <c r="O836" s="63">
        <v>0</v>
      </c>
      <c r="P836" s="63">
        <v>1919964.769086</v>
      </c>
      <c r="Q836" s="63">
        <v>0</v>
      </c>
      <c r="R836" s="63"/>
      <c r="S836" s="63"/>
      <c r="T836" s="64">
        <v>40336.1266631381</v>
      </c>
      <c r="U836" s="205"/>
    </row>
    <row r="837" spans="1:22" x14ac:dyDescent="0.25">
      <c r="A837" s="193">
        <f t="shared" si="72"/>
        <v>815</v>
      </c>
      <c r="B837" s="107">
        <f t="shared" si="70"/>
        <v>355</v>
      </c>
      <c r="C837" s="53" t="s">
        <v>437</v>
      </c>
      <c r="D837" s="53" t="s">
        <v>438</v>
      </c>
      <c r="E837" s="110">
        <f t="shared" si="71"/>
        <v>18371707.427089896</v>
      </c>
      <c r="F837" s="55">
        <v>2788532.6780639999</v>
      </c>
      <c r="G837" s="63">
        <v>0</v>
      </c>
      <c r="H837" s="63">
        <v>452723.07120802801</v>
      </c>
      <c r="I837" s="63">
        <v>1566144.8148779999</v>
      </c>
      <c r="J837" s="63">
        <v>0</v>
      </c>
      <c r="K837" s="63"/>
      <c r="L837" s="55">
        <v>616763.67752999999</v>
      </c>
      <c r="M837" s="63">
        <v>0</v>
      </c>
      <c r="N837" s="63"/>
      <c r="O837" s="63">
        <v>0</v>
      </c>
      <c r="P837" s="63">
        <v>5952055.6381440004</v>
      </c>
      <c r="Q837" s="63">
        <v>6561163.0531278197</v>
      </c>
      <c r="R837" s="63"/>
      <c r="S837" s="63"/>
      <c r="T837" s="64">
        <v>434324.49413804902</v>
      </c>
      <c r="U837" s="205"/>
    </row>
    <row r="838" spans="1:22" x14ac:dyDescent="0.25">
      <c r="A838" s="193">
        <f t="shared" si="72"/>
        <v>816</v>
      </c>
      <c r="B838" s="107">
        <f t="shared" si="70"/>
        <v>356</v>
      </c>
      <c r="C838" s="53" t="s">
        <v>437</v>
      </c>
      <c r="D838" s="53" t="s">
        <v>751</v>
      </c>
      <c r="E838" s="110">
        <f t="shared" si="71"/>
        <v>11439941.046708301</v>
      </c>
      <c r="F838" s="55">
        <v>1536923.946096</v>
      </c>
      <c r="G838" s="63">
        <v>0</v>
      </c>
      <c r="H838" s="63">
        <v>0</v>
      </c>
      <c r="I838" s="63">
        <v>904580.55352005595</v>
      </c>
      <c r="J838" s="63">
        <v>0</v>
      </c>
      <c r="K838" s="63"/>
      <c r="L838" s="55">
        <v>334977.14468904003</v>
      </c>
      <c r="M838" s="63">
        <v>0</v>
      </c>
      <c r="N838" s="63">
        <v>1876117.9502099999</v>
      </c>
      <c r="O838" s="63">
        <v>0</v>
      </c>
      <c r="P838" s="63">
        <v>3278610.8314260002</v>
      </c>
      <c r="Q838" s="63">
        <v>3266743.4001699998</v>
      </c>
      <c r="R838" s="63"/>
      <c r="S838" s="63"/>
      <c r="T838" s="64">
        <v>241987.220597204</v>
      </c>
      <c r="U838" s="205"/>
    </row>
    <row r="839" spans="1:22" x14ac:dyDescent="0.25">
      <c r="A839" s="193">
        <f t="shared" si="72"/>
        <v>817</v>
      </c>
      <c r="B839" s="107">
        <f t="shared" si="70"/>
        <v>357</v>
      </c>
      <c r="C839" s="53" t="s">
        <v>437</v>
      </c>
      <c r="D839" s="107" t="s">
        <v>752</v>
      </c>
      <c r="E839" s="62">
        <f t="shared" si="71"/>
        <v>8939288.3835575581</v>
      </c>
      <c r="F839" s="55">
        <v>1207621.7677859999</v>
      </c>
      <c r="G839" s="63">
        <v>0</v>
      </c>
      <c r="H839" s="63">
        <v>0</v>
      </c>
      <c r="I839" s="63">
        <v>674481.81868200004</v>
      </c>
      <c r="J839" s="63">
        <v>0</v>
      </c>
      <c r="K839" s="63"/>
      <c r="L839" s="55"/>
      <c r="M839" s="63">
        <v>0</v>
      </c>
      <c r="N839" s="63">
        <v>1465015.4884260001</v>
      </c>
      <c r="O839" s="63">
        <v>0</v>
      </c>
      <c r="P839" s="63">
        <v>2572639.0445699999</v>
      </c>
      <c r="Q839" s="63">
        <v>2842159.2559476802</v>
      </c>
      <c r="R839" s="63"/>
      <c r="S839" s="63"/>
      <c r="T839" s="64">
        <v>177371.008145878</v>
      </c>
      <c r="U839" s="205"/>
    </row>
    <row r="840" spans="1:22" x14ac:dyDescent="0.25">
      <c r="A840" s="193">
        <f t="shared" si="72"/>
        <v>818</v>
      </c>
      <c r="B840" s="107">
        <f t="shared" si="70"/>
        <v>358</v>
      </c>
      <c r="C840" s="53" t="s">
        <v>753</v>
      </c>
      <c r="D840" s="53" t="s">
        <v>754</v>
      </c>
      <c r="E840" s="110">
        <f t="shared" si="71"/>
        <v>13232742.476460341</v>
      </c>
      <c r="F840" s="55">
        <v>2405495.4171779999</v>
      </c>
      <c r="G840" s="63">
        <v>0</v>
      </c>
      <c r="H840" s="63">
        <v>361131.79129235301</v>
      </c>
      <c r="I840" s="63">
        <v>1398154.99267196</v>
      </c>
      <c r="J840" s="63">
        <v>0</v>
      </c>
      <c r="K840" s="63"/>
      <c r="L840" s="55">
        <v>0</v>
      </c>
      <c r="M840" s="63"/>
      <c r="N840" s="63">
        <v>2946332.8479479998</v>
      </c>
      <c r="O840" s="63">
        <v>0</v>
      </c>
      <c r="P840" s="63">
        <v>0</v>
      </c>
      <c r="Q840" s="63">
        <v>5610416.6446796702</v>
      </c>
      <c r="R840" s="63">
        <v>192393.2</v>
      </c>
      <c r="S840" s="63">
        <v>33510</v>
      </c>
      <c r="T840" s="64">
        <v>285307.58269035898</v>
      </c>
      <c r="U840" s="205"/>
      <c r="V840" s="136"/>
    </row>
    <row r="841" spans="1:22" x14ac:dyDescent="0.25">
      <c r="A841" s="193">
        <f t="shared" si="72"/>
        <v>819</v>
      </c>
      <c r="B841" s="107">
        <f t="shared" si="70"/>
        <v>359</v>
      </c>
      <c r="C841" s="53" t="s">
        <v>279</v>
      </c>
      <c r="D841" s="53" t="s">
        <v>755</v>
      </c>
      <c r="E841" s="110">
        <f t="shared" si="71"/>
        <v>1758280.2158000001</v>
      </c>
      <c r="F841" s="55">
        <v>0</v>
      </c>
      <c r="G841" s="63">
        <v>0</v>
      </c>
      <c r="H841" s="63">
        <v>0</v>
      </c>
      <c r="I841" s="63">
        <v>0</v>
      </c>
      <c r="J841" s="63">
        <v>1481372.11786788</v>
      </c>
      <c r="K841" s="63"/>
      <c r="L841" s="55"/>
      <c r="M841" s="63">
        <v>0</v>
      </c>
      <c r="N841" s="63">
        <v>0</v>
      </c>
      <c r="O841" s="63">
        <v>0</v>
      </c>
      <c r="P841" s="63">
        <v>0</v>
      </c>
      <c r="Q841" s="63">
        <v>0</v>
      </c>
      <c r="R841" s="63">
        <v>242013.49</v>
      </c>
      <c r="S841" s="63">
        <v>2500</v>
      </c>
      <c r="T841" s="64">
        <v>32394.607932120001</v>
      </c>
      <c r="U841" s="205"/>
    </row>
    <row r="842" spans="1:22" x14ac:dyDescent="0.25">
      <c r="A842" s="193">
        <f t="shared" si="72"/>
        <v>820</v>
      </c>
      <c r="B842" s="107">
        <f t="shared" si="70"/>
        <v>360</v>
      </c>
      <c r="C842" s="53" t="s">
        <v>279</v>
      </c>
      <c r="D842" s="53" t="s">
        <v>756</v>
      </c>
      <c r="E842" s="110">
        <f t="shared" si="71"/>
        <v>732850.34090000007</v>
      </c>
      <c r="F842" s="55">
        <v>0</v>
      </c>
      <c r="G842" s="63">
        <v>0</v>
      </c>
      <c r="H842" s="63">
        <v>0</v>
      </c>
      <c r="I842" s="63">
        <v>0</v>
      </c>
      <c r="J842" s="63">
        <v>532254.96286074002</v>
      </c>
      <c r="K842" s="63"/>
      <c r="L842" s="55"/>
      <c r="M842" s="63">
        <v>0</v>
      </c>
      <c r="N842" s="63">
        <v>0</v>
      </c>
      <c r="O842" s="63">
        <v>0</v>
      </c>
      <c r="P842" s="63">
        <v>0</v>
      </c>
      <c r="Q842" s="63">
        <v>0</v>
      </c>
      <c r="R842" s="63">
        <v>183956.04</v>
      </c>
      <c r="S842" s="63">
        <v>5000</v>
      </c>
      <c r="T842" s="64">
        <v>11639.338039259999</v>
      </c>
      <c r="U842" s="205"/>
    </row>
    <row r="843" spans="1:22" x14ac:dyDescent="0.25">
      <c r="A843" s="193">
        <f t="shared" si="72"/>
        <v>821</v>
      </c>
      <c r="B843" s="107">
        <f t="shared" si="70"/>
        <v>361</v>
      </c>
      <c r="C843" s="53" t="s">
        <v>279</v>
      </c>
      <c r="D843" s="53" t="s">
        <v>757</v>
      </c>
      <c r="E843" s="110">
        <f t="shared" si="71"/>
        <v>744617.77899999998</v>
      </c>
      <c r="F843" s="55">
        <v>0</v>
      </c>
      <c r="G843" s="63">
        <v>0</v>
      </c>
      <c r="H843" s="63">
        <v>0</v>
      </c>
      <c r="I843" s="63">
        <v>0</v>
      </c>
      <c r="J843" s="63">
        <v>525246.36480540002</v>
      </c>
      <c r="K843" s="63"/>
      <c r="L843" s="55"/>
      <c r="M843" s="63">
        <v>0</v>
      </c>
      <c r="N843" s="63">
        <v>0</v>
      </c>
      <c r="O843" s="63">
        <v>0</v>
      </c>
      <c r="P843" s="63">
        <v>0</v>
      </c>
      <c r="Q843" s="63">
        <v>0</v>
      </c>
      <c r="R843" s="63">
        <v>202885.34</v>
      </c>
      <c r="S843" s="63">
        <v>5000</v>
      </c>
      <c r="T843" s="64">
        <v>11486.0741946</v>
      </c>
      <c r="U843" s="205"/>
    </row>
    <row r="844" spans="1:22" x14ac:dyDescent="0.25">
      <c r="A844" s="193">
        <f t="shared" si="72"/>
        <v>822</v>
      </c>
      <c r="B844" s="107">
        <f t="shared" si="70"/>
        <v>362</v>
      </c>
      <c r="C844" s="53" t="s">
        <v>279</v>
      </c>
      <c r="D844" s="53" t="s">
        <v>758</v>
      </c>
      <c r="E844" s="110">
        <f t="shared" si="71"/>
        <v>470895.09011409112</v>
      </c>
      <c r="F844" s="55"/>
      <c r="G844" s="63">
        <v>0</v>
      </c>
      <c r="H844" s="63">
        <v>0</v>
      </c>
      <c r="I844" s="63">
        <v>0</v>
      </c>
      <c r="J844" s="63">
        <v>458087.92</v>
      </c>
      <c r="K844" s="63"/>
      <c r="L844" s="55"/>
      <c r="M844" s="63">
        <v>0</v>
      </c>
      <c r="N844" s="63">
        <v>0</v>
      </c>
      <c r="O844" s="63">
        <v>0</v>
      </c>
      <c r="P844" s="63">
        <v>0</v>
      </c>
      <c r="Q844" s="63">
        <v>0</v>
      </c>
      <c r="R844" s="63">
        <v>4936.75</v>
      </c>
      <c r="S844" s="63"/>
      <c r="T844" s="64">
        <v>7870.42011409113</v>
      </c>
      <c r="U844" s="205"/>
    </row>
    <row r="845" spans="1:22" x14ac:dyDescent="0.25">
      <c r="A845" s="193">
        <f t="shared" si="72"/>
        <v>823</v>
      </c>
      <c r="B845" s="107">
        <f t="shared" si="70"/>
        <v>363</v>
      </c>
      <c r="C845" s="53" t="s">
        <v>279</v>
      </c>
      <c r="D845" s="53" t="s">
        <v>759</v>
      </c>
      <c r="E845" s="110">
        <f t="shared" si="71"/>
        <v>1462636.86763142</v>
      </c>
      <c r="F845" s="55">
        <v>0</v>
      </c>
      <c r="G845" s="63">
        <v>0</v>
      </c>
      <c r="H845" s="63">
        <v>0</v>
      </c>
      <c r="I845" s="63">
        <v>0</v>
      </c>
      <c r="J845" s="63">
        <v>1427087.48</v>
      </c>
      <c r="K845" s="63"/>
      <c r="L845" s="55"/>
      <c r="M845" s="63">
        <v>0</v>
      </c>
      <c r="N845" s="63">
        <v>0</v>
      </c>
      <c r="O845" s="63">
        <v>0</v>
      </c>
      <c r="P845" s="63">
        <v>0</v>
      </c>
      <c r="Q845" s="63">
        <v>0</v>
      </c>
      <c r="R845" s="63">
        <v>12219.87</v>
      </c>
      <c r="S845" s="63"/>
      <c r="T845" s="64">
        <v>23329.51763142</v>
      </c>
      <c r="U845" s="205"/>
    </row>
    <row r="846" spans="1:22" x14ac:dyDescent="0.25">
      <c r="A846" s="193">
        <f t="shared" si="72"/>
        <v>824</v>
      </c>
      <c r="B846" s="107">
        <f t="shared" si="70"/>
        <v>364</v>
      </c>
      <c r="C846" s="53" t="s">
        <v>279</v>
      </c>
      <c r="D846" s="107" t="s">
        <v>285</v>
      </c>
      <c r="E846" s="62">
        <f t="shared" si="71"/>
        <v>6210065.9474952398</v>
      </c>
      <c r="F846" s="55"/>
      <c r="G846" s="63">
        <v>0</v>
      </c>
      <c r="H846" s="63">
        <v>0</v>
      </c>
      <c r="I846" s="63">
        <v>0</v>
      </c>
      <c r="J846" s="63"/>
      <c r="K846" s="63"/>
      <c r="L846" s="55"/>
      <c r="M846" s="63">
        <v>0</v>
      </c>
      <c r="N846" s="63">
        <v>0</v>
      </c>
      <c r="O846" s="63">
        <v>0</v>
      </c>
      <c r="P846" s="63">
        <v>5910943.7000000002</v>
      </c>
      <c r="Q846" s="63"/>
      <c r="R846" s="63"/>
      <c r="S846" s="63"/>
      <c r="T846" s="64">
        <v>299122.24749524001</v>
      </c>
      <c r="U846" s="205"/>
    </row>
    <row r="847" spans="1:22" x14ac:dyDescent="0.25">
      <c r="A847" s="193">
        <f t="shared" si="72"/>
        <v>825</v>
      </c>
      <c r="B847" s="107">
        <f t="shared" si="70"/>
        <v>365</v>
      </c>
      <c r="C847" s="53" t="s">
        <v>279</v>
      </c>
      <c r="D847" s="53" t="s">
        <v>760</v>
      </c>
      <c r="E847" s="62">
        <f t="shared" si="71"/>
        <v>4028819.6753626801</v>
      </c>
      <c r="F847" s="55"/>
      <c r="G847" s="63">
        <v>0</v>
      </c>
      <c r="H847" s="63">
        <v>0</v>
      </c>
      <c r="I847" s="63">
        <v>0</v>
      </c>
      <c r="J847" s="63"/>
      <c r="K847" s="63"/>
      <c r="L847" s="55"/>
      <c r="M847" s="63">
        <v>0</v>
      </c>
      <c r="N847" s="63">
        <v>0</v>
      </c>
      <c r="O847" s="63">
        <v>0</v>
      </c>
      <c r="P847" s="63">
        <v>0</v>
      </c>
      <c r="Q847" s="63">
        <v>3738308.16</v>
      </c>
      <c r="R847" s="63"/>
      <c r="S847" s="63"/>
      <c r="T847" s="64">
        <v>290511.51536268002</v>
      </c>
      <c r="U847" s="205"/>
    </row>
    <row r="848" spans="1:22" x14ac:dyDescent="0.25">
      <c r="A848" s="193">
        <f t="shared" si="72"/>
        <v>826</v>
      </c>
      <c r="B848" s="107">
        <f t="shared" si="70"/>
        <v>366</v>
      </c>
      <c r="C848" s="53" t="s">
        <v>279</v>
      </c>
      <c r="D848" s="53" t="s">
        <v>761</v>
      </c>
      <c r="E848" s="110">
        <f t="shared" si="71"/>
        <v>2522204.7683000001</v>
      </c>
      <c r="F848" s="55">
        <v>0</v>
      </c>
      <c r="G848" s="63">
        <v>0</v>
      </c>
      <c r="H848" s="63">
        <v>0</v>
      </c>
      <c r="I848" s="63">
        <v>0</v>
      </c>
      <c r="J848" s="63">
        <v>2097298.4587543798</v>
      </c>
      <c r="K848" s="63"/>
      <c r="L848" s="55"/>
      <c r="M848" s="63">
        <v>0</v>
      </c>
      <c r="N848" s="63">
        <v>0</v>
      </c>
      <c r="O848" s="63">
        <v>0</v>
      </c>
      <c r="P848" s="63">
        <v>0</v>
      </c>
      <c r="Q848" s="63">
        <v>0</v>
      </c>
      <c r="R848" s="63">
        <v>374042.64</v>
      </c>
      <c r="S848" s="63">
        <v>5000</v>
      </c>
      <c r="T848" s="64">
        <v>45863.669545620003</v>
      </c>
      <c r="U848" s="205"/>
    </row>
    <row r="849" spans="1:21" x14ac:dyDescent="0.25">
      <c r="A849" s="193">
        <f t="shared" si="72"/>
        <v>827</v>
      </c>
      <c r="B849" s="107">
        <f t="shared" si="70"/>
        <v>367</v>
      </c>
      <c r="C849" s="53" t="s">
        <v>279</v>
      </c>
      <c r="D849" s="53" t="s">
        <v>762</v>
      </c>
      <c r="E849" s="110">
        <f t="shared" si="71"/>
        <v>1888304.1105000002</v>
      </c>
      <c r="F849" s="55">
        <v>0</v>
      </c>
      <c r="G849" s="63">
        <v>0</v>
      </c>
      <c r="H849" s="63">
        <v>0</v>
      </c>
      <c r="I849" s="63">
        <v>0</v>
      </c>
      <c r="J849" s="63">
        <v>1633202.9595693001</v>
      </c>
      <c r="K849" s="63"/>
      <c r="L849" s="55"/>
      <c r="M849" s="63">
        <v>0</v>
      </c>
      <c r="N849" s="63">
        <v>0</v>
      </c>
      <c r="O849" s="63">
        <v>0</v>
      </c>
      <c r="P849" s="63">
        <v>0</v>
      </c>
      <c r="Q849" s="63">
        <v>0</v>
      </c>
      <c r="R849" s="63">
        <v>214386.31</v>
      </c>
      <c r="S849" s="63">
        <v>5000</v>
      </c>
      <c r="T849" s="64">
        <v>35714.840930699997</v>
      </c>
      <c r="U849" s="205"/>
    </row>
    <row r="850" spans="1:21" x14ac:dyDescent="0.25">
      <c r="A850" s="193">
        <f t="shared" si="72"/>
        <v>828</v>
      </c>
      <c r="B850" s="107">
        <f t="shared" si="70"/>
        <v>368</v>
      </c>
      <c r="C850" s="53" t="s">
        <v>279</v>
      </c>
      <c r="D850" s="53" t="s">
        <v>763</v>
      </c>
      <c r="E850" s="110">
        <f t="shared" si="71"/>
        <v>1791138.3145296599</v>
      </c>
      <c r="F850" s="55">
        <v>0</v>
      </c>
      <c r="G850" s="63">
        <v>0</v>
      </c>
      <c r="H850" s="63">
        <v>0</v>
      </c>
      <c r="I850" s="63">
        <v>0</v>
      </c>
      <c r="J850" s="63">
        <v>1530056.68</v>
      </c>
      <c r="K850" s="63"/>
      <c r="L850" s="55"/>
      <c r="M850" s="63">
        <v>0</v>
      </c>
      <c r="N850" s="63">
        <v>0</v>
      </c>
      <c r="O850" s="63">
        <v>0</v>
      </c>
      <c r="P850" s="63">
        <v>0</v>
      </c>
      <c r="Q850" s="63">
        <v>0</v>
      </c>
      <c r="R850" s="63">
        <v>227366.65</v>
      </c>
      <c r="S850" s="63">
        <v>2500</v>
      </c>
      <c r="T850" s="64">
        <v>31214.98452966</v>
      </c>
      <c r="U850" s="205"/>
    </row>
    <row r="851" spans="1:21" x14ac:dyDescent="0.25">
      <c r="A851" s="193">
        <f t="shared" si="72"/>
        <v>829</v>
      </c>
      <c r="B851" s="107">
        <f t="shared" si="70"/>
        <v>369</v>
      </c>
      <c r="C851" s="53" t="s">
        <v>764</v>
      </c>
      <c r="D851" s="53" t="s">
        <v>765</v>
      </c>
      <c r="E851" s="110">
        <f t="shared" si="71"/>
        <v>9242051.3749909122</v>
      </c>
      <c r="F851" s="55">
        <v>1499120.1748707001</v>
      </c>
      <c r="G851" s="63"/>
      <c r="H851" s="63">
        <v>430222.50116461801</v>
      </c>
      <c r="I851" s="63">
        <v>0</v>
      </c>
      <c r="J851" s="63">
        <v>0</v>
      </c>
      <c r="K851" s="63"/>
      <c r="L851" s="55">
        <v>142891.972693549</v>
      </c>
      <c r="M851" s="63">
        <v>0</v>
      </c>
      <c r="N851" s="63"/>
      <c r="O851" s="63">
        <v>0</v>
      </c>
      <c r="P851" s="63">
        <v>3599331.7433198299</v>
      </c>
      <c r="Q851" s="63">
        <v>3186013.8208737099</v>
      </c>
      <c r="R851" s="63">
        <v>177033.46</v>
      </c>
      <c r="S851" s="63">
        <v>16000</v>
      </c>
      <c r="T851" s="64">
        <v>191437.702068504</v>
      </c>
      <c r="U851" s="205"/>
    </row>
    <row r="856" spans="1:21" x14ac:dyDescent="0.25"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3"/>
    </row>
    <row r="857" spans="1:21" x14ac:dyDescent="0.25">
      <c r="E857" s="135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</row>
    <row r="858" spans="1:21" x14ac:dyDescent="0.25">
      <c r="E858" s="135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</row>
    <row r="859" spans="1:21" x14ac:dyDescent="0.25">
      <c r="E859" s="3"/>
    </row>
  </sheetData>
  <autoFilter ref="A12:BR851" xr:uid="{00000000-0009-0000-0000-000001000000}">
    <filterColumn colId="3">
      <filters>
        <filter val="Абыйский у, п. Белая Гора, ул. Строителей, д. 11 кор.1"/>
        <filter val="Абыйский у, п. Белая Гора, ул. Строителей, д. 11 кор.2"/>
        <filter val="Абыйский у, п. Белая Гора, ул. Строителей, д. 14"/>
      </filters>
    </filterColumn>
  </autoFilter>
  <mergeCells count="16">
    <mergeCell ref="C9:C12"/>
    <mergeCell ref="B9:B12"/>
    <mergeCell ref="A9:A12"/>
    <mergeCell ref="E9:E11"/>
    <mergeCell ref="A6:T6"/>
    <mergeCell ref="F10:L10"/>
    <mergeCell ref="P10:P11"/>
    <mergeCell ref="F9:T9"/>
    <mergeCell ref="S10:S11"/>
    <mergeCell ref="D9:D12"/>
    <mergeCell ref="M10:M11"/>
    <mergeCell ref="R10:R11"/>
    <mergeCell ref="T10:T11"/>
    <mergeCell ref="Q10:Q11"/>
    <mergeCell ref="O10:O11"/>
    <mergeCell ref="N10:N11"/>
  </mergeCells>
  <conditionalFormatting sqref="D375 D480">
    <cfRule type="duplicateValues" dxfId="81" priority="82"/>
  </conditionalFormatting>
  <conditionalFormatting sqref="D217 D336 D339 D368:D369 D376 D746:D748 D763 D798 D800">
    <cfRule type="duplicateValues" dxfId="80" priority="81"/>
  </conditionalFormatting>
  <conditionalFormatting sqref="D345 D348">
    <cfRule type="duplicateValues" dxfId="79" priority="80"/>
  </conditionalFormatting>
  <conditionalFormatting sqref="D775:D778 D781:D782 D789">
    <cfRule type="duplicateValues" dxfId="78" priority="79"/>
  </conditionalFormatting>
  <conditionalFormatting sqref="D344">
    <cfRule type="duplicateValues" dxfId="77" priority="78"/>
  </conditionalFormatting>
  <conditionalFormatting sqref="D734 D736">
    <cfRule type="duplicateValues" dxfId="76" priority="77"/>
  </conditionalFormatting>
  <conditionalFormatting sqref="D18:D25 D28:D48 D50:D51 D53 D56:D57 D59 D61:D65 D67:D68 D70:D74 D77 D80:D94 D96 D98:D105 D107:D108 D110 D113:D114 D117:D121 D123:D126 D128:D129 D132:D135 D137 D139 D145:D153 D155:D162 D164:D167 D170 D172 D176 D180:D191 D193:D202 D219 D225 D456">
    <cfRule type="duplicateValues" dxfId="75" priority="76"/>
  </conditionalFormatting>
  <conditionalFormatting sqref="D796 D803">
    <cfRule type="duplicateValues" dxfId="74" priority="75"/>
  </conditionalFormatting>
  <conditionalFormatting sqref="D851">
    <cfRule type="duplicateValues" dxfId="73" priority="74"/>
  </conditionalFormatting>
  <conditionalFormatting sqref="D461 D766 D768:D771 D773:D774">
    <cfRule type="duplicateValues" dxfId="72" priority="73"/>
  </conditionalFormatting>
  <conditionalFormatting sqref="D244">
    <cfRule type="duplicateValues" dxfId="71" priority="72"/>
  </conditionalFormatting>
  <conditionalFormatting sqref="D786">
    <cfRule type="duplicateValues" dxfId="70" priority="71"/>
  </conditionalFormatting>
  <conditionalFormatting sqref="D54">
    <cfRule type="duplicateValues" dxfId="69" priority="70"/>
  </conditionalFormatting>
  <conditionalFormatting sqref="D837">
    <cfRule type="duplicateValues" dxfId="68" priority="69"/>
  </conditionalFormatting>
  <conditionalFormatting sqref="D838">
    <cfRule type="duplicateValues" dxfId="67" priority="68"/>
  </conditionalFormatting>
  <conditionalFormatting sqref="D834">
    <cfRule type="duplicateValues" dxfId="66" priority="67"/>
  </conditionalFormatting>
  <conditionalFormatting sqref="D214">
    <cfRule type="duplicateValues" dxfId="65" priority="66"/>
  </conditionalFormatting>
  <conditionalFormatting sqref="D232">
    <cfRule type="duplicateValues" dxfId="64" priority="65"/>
  </conditionalFormatting>
  <conditionalFormatting sqref="D242">
    <cfRule type="duplicateValues" dxfId="63" priority="64"/>
  </conditionalFormatting>
  <conditionalFormatting sqref="D66">
    <cfRule type="duplicateValues" dxfId="62" priority="63"/>
  </conditionalFormatting>
  <conditionalFormatting sqref="D106">
    <cfRule type="duplicateValues" dxfId="61" priority="62"/>
  </conditionalFormatting>
  <conditionalFormatting sqref="D303">
    <cfRule type="duplicateValues" dxfId="60" priority="61"/>
  </conditionalFormatting>
  <conditionalFormatting sqref="D136">
    <cfRule type="duplicateValues" dxfId="59" priority="60"/>
  </conditionalFormatting>
  <conditionalFormatting sqref="D138">
    <cfRule type="duplicateValues" dxfId="58" priority="59"/>
  </conditionalFormatting>
  <conditionalFormatting sqref="D813">
    <cfRule type="duplicateValues" dxfId="57" priority="58"/>
  </conditionalFormatting>
  <conditionalFormatting sqref="D818:D819">
    <cfRule type="duplicateValues" dxfId="56" priority="57"/>
  </conditionalFormatting>
  <conditionalFormatting sqref="D479">
    <cfRule type="duplicateValues" dxfId="55" priority="56"/>
  </conditionalFormatting>
  <conditionalFormatting sqref="D370:D372">
    <cfRule type="duplicateValues" dxfId="54" priority="55"/>
  </conditionalFormatting>
  <conditionalFormatting sqref="D373 D847">
    <cfRule type="duplicateValues" dxfId="53" priority="54"/>
  </conditionalFormatting>
  <conditionalFormatting sqref="D210">
    <cfRule type="duplicateValues" dxfId="52" priority="53"/>
  </conditionalFormatting>
  <conditionalFormatting sqref="D218">
    <cfRule type="duplicateValues" dxfId="51" priority="52"/>
  </conditionalFormatting>
  <conditionalFormatting sqref="D248">
    <cfRule type="duplicateValues" dxfId="50" priority="51"/>
  </conditionalFormatting>
  <conditionalFormatting sqref="D267">
    <cfRule type="duplicateValues" dxfId="49" priority="50"/>
  </conditionalFormatting>
  <conditionalFormatting sqref="D309">
    <cfRule type="duplicateValues" dxfId="48" priority="49"/>
  </conditionalFormatting>
  <conditionalFormatting sqref="D436">
    <cfRule type="duplicateValues" dxfId="47" priority="48"/>
  </conditionalFormatting>
  <conditionalFormatting sqref="D333:D334">
    <cfRule type="duplicateValues" dxfId="46" priority="47"/>
  </conditionalFormatting>
  <conditionalFormatting sqref="D355">
    <cfRule type="duplicateValues" dxfId="45" priority="46"/>
  </conditionalFormatting>
  <conditionalFormatting sqref="D846">
    <cfRule type="duplicateValues" dxfId="44" priority="45"/>
  </conditionalFormatting>
  <conditionalFormatting sqref="D246">
    <cfRule type="duplicateValues" dxfId="43" priority="44"/>
  </conditionalFormatting>
  <conditionalFormatting sqref="D270">
    <cfRule type="duplicateValues" dxfId="42" priority="43"/>
  </conditionalFormatting>
  <conditionalFormatting sqref="D283">
    <cfRule type="duplicateValues" dxfId="41" priority="42"/>
  </conditionalFormatting>
  <conditionalFormatting sqref="D295">
    <cfRule type="duplicateValues" dxfId="40" priority="41"/>
  </conditionalFormatting>
  <conditionalFormatting sqref="D315">
    <cfRule type="duplicateValues" dxfId="39" priority="40"/>
  </conditionalFormatting>
  <conditionalFormatting sqref="D455">
    <cfRule type="duplicateValues" dxfId="38" priority="39"/>
  </conditionalFormatting>
  <conditionalFormatting sqref="D175">
    <cfRule type="duplicateValues" dxfId="37" priority="38"/>
  </conditionalFormatting>
  <conditionalFormatting sqref="D49">
    <cfRule type="duplicateValues" dxfId="36" priority="37"/>
  </conditionalFormatting>
  <conditionalFormatting sqref="D243">
    <cfRule type="duplicateValues" dxfId="35" priority="36"/>
  </conditionalFormatting>
  <conditionalFormatting sqref="D337">
    <cfRule type="duplicateValues" dxfId="34" priority="35"/>
  </conditionalFormatting>
  <conditionalFormatting sqref="D388">
    <cfRule type="duplicateValues" dxfId="33" priority="34"/>
  </conditionalFormatting>
  <conditionalFormatting sqref="D221">
    <cfRule type="duplicateValues" dxfId="32" priority="33"/>
  </conditionalFormatting>
  <conditionalFormatting sqref="D222">
    <cfRule type="duplicateValues" dxfId="31" priority="32"/>
  </conditionalFormatting>
  <conditionalFormatting sqref="D245">
    <cfRule type="duplicateValues" dxfId="30" priority="31"/>
  </conditionalFormatting>
  <conditionalFormatting sqref="D249">
    <cfRule type="duplicateValues" dxfId="29" priority="30"/>
  </conditionalFormatting>
  <conditionalFormatting sqref="D280">
    <cfRule type="duplicateValues" dxfId="28" priority="29"/>
  </conditionalFormatting>
  <conditionalFormatting sqref="D319:D320">
    <cfRule type="duplicateValues" dxfId="27" priority="28"/>
  </conditionalFormatting>
  <conditionalFormatting sqref="D374">
    <cfRule type="duplicateValues" dxfId="26" priority="27"/>
  </conditionalFormatting>
  <conditionalFormatting sqref="D220">
    <cfRule type="duplicateValues" dxfId="25" priority="26"/>
  </conditionalFormatting>
  <conditionalFormatting sqref="D384">
    <cfRule type="duplicateValues" dxfId="24" priority="25"/>
  </conditionalFormatting>
  <conditionalFormatting sqref="D241">
    <cfRule type="duplicateValues" dxfId="23" priority="24"/>
  </conditionalFormatting>
  <conditionalFormatting sqref="D421">
    <cfRule type="duplicateValues" dxfId="22" priority="23"/>
  </conditionalFormatting>
  <conditionalFormatting sqref="D307">
    <cfRule type="duplicateValues" dxfId="21" priority="22"/>
  </conditionalFormatting>
  <conditionalFormatting sqref="D347">
    <cfRule type="duplicateValues" dxfId="20" priority="21"/>
  </conditionalFormatting>
  <conditionalFormatting sqref="D689">
    <cfRule type="duplicateValues" dxfId="19" priority="20"/>
  </conditionalFormatting>
  <conditionalFormatting sqref="D749">
    <cfRule type="duplicateValues" dxfId="18" priority="19"/>
  </conditionalFormatting>
  <conditionalFormatting sqref="D471">
    <cfRule type="duplicateValues" dxfId="17" priority="18"/>
  </conditionalFormatting>
  <conditionalFormatting sqref="D472">
    <cfRule type="duplicateValues" dxfId="16" priority="17"/>
  </conditionalFormatting>
  <conditionalFormatting sqref="D367">
    <cfRule type="duplicateValues" dxfId="15" priority="16"/>
  </conditionalFormatting>
  <conditionalFormatting sqref="D752">
    <cfRule type="duplicateValues" dxfId="14" priority="15"/>
  </conditionalFormatting>
  <conditionalFormatting sqref="D765">
    <cfRule type="duplicateValues" dxfId="13" priority="14"/>
  </conditionalFormatting>
  <conditionalFormatting sqref="D380">
    <cfRule type="duplicateValues" dxfId="12" priority="13"/>
  </conditionalFormatting>
  <conditionalFormatting sqref="D405">
    <cfRule type="duplicateValues" dxfId="11" priority="12"/>
  </conditionalFormatting>
  <conditionalFormatting sqref="D423">
    <cfRule type="duplicateValues" dxfId="10" priority="11"/>
  </conditionalFormatting>
  <conditionalFormatting sqref="D741">
    <cfRule type="duplicateValues" dxfId="9" priority="10"/>
  </conditionalFormatting>
  <conditionalFormatting sqref="D382">
    <cfRule type="duplicateValues" dxfId="8" priority="9"/>
  </conditionalFormatting>
  <conditionalFormatting sqref="D250">
    <cfRule type="duplicateValues" dxfId="7" priority="8"/>
  </conditionalFormatting>
  <conditionalFormatting sqref="D567">
    <cfRule type="duplicateValues" dxfId="6" priority="7"/>
  </conditionalFormatting>
  <conditionalFormatting sqref="D414">
    <cfRule type="duplicateValues" dxfId="5" priority="6"/>
  </conditionalFormatting>
  <conditionalFormatting sqref="D458">
    <cfRule type="duplicateValues" dxfId="4" priority="5"/>
  </conditionalFormatting>
  <conditionalFormatting sqref="D467">
    <cfRule type="duplicateValues" dxfId="3" priority="4"/>
  </conditionalFormatting>
  <conditionalFormatting sqref="D378">
    <cfRule type="duplicateValues" dxfId="2" priority="3"/>
  </conditionalFormatting>
  <conditionalFormatting sqref="D377">
    <cfRule type="duplicateValues" dxfId="1" priority="2"/>
  </conditionalFormatting>
  <conditionalFormatting sqref="D433">
    <cfRule type="duplicateValues" dxfId="0" priority="1"/>
  </conditionalFormatting>
  <pageMargins left="0.25" right="0.25" top="0.75" bottom="0.75" header="0.30000001192092901" footer="0.30000001192092901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C41"/>
  <sheetViews>
    <sheetView workbookViewId="0"/>
  </sheetViews>
  <sheetFormatPr defaultColWidth="9.140625" defaultRowHeight="15" x14ac:dyDescent="0.25"/>
  <cols>
    <col min="3" max="3" width="110.85546875" customWidth="1"/>
  </cols>
  <sheetData>
    <row r="3" spans="3:3" x14ac:dyDescent="0.25">
      <c r="C3" s="215" t="s">
        <v>299</v>
      </c>
    </row>
    <row r="4" spans="3:3" x14ac:dyDescent="0.25">
      <c r="C4" s="215" t="s">
        <v>62</v>
      </c>
    </row>
    <row r="5" spans="3:3" x14ac:dyDescent="0.25">
      <c r="C5" s="215" t="s">
        <v>67</v>
      </c>
    </row>
    <row r="6" spans="3:3" x14ac:dyDescent="0.25">
      <c r="C6" s="215" t="s">
        <v>71</v>
      </c>
    </row>
    <row r="7" spans="3:3" x14ac:dyDescent="0.25">
      <c r="C7" s="215" t="s">
        <v>75</v>
      </c>
    </row>
    <row r="8" spans="3:3" x14ac:dyDescent="0.25">
      <c r="C8" s="215" t="s">
        <v>78</v>
      </c>
    </row>
    <row r="9" spans="3:3" x14ac:dyDescent="0.25">
      <c r="C9" s="215" t="s">
        <v>108</v>
      </c>
    </row>
    <row r="10" spans="3:3" x14ac:dyDescent="0.25">
      <c r="C10" s="215" t="s">
        <v>197</v>
      </c>
    </row>
    <row r="11" spans="3:3" x14ac:dyDescent="0.25">
      <c r="C11" s="215" t="s">
        <v>204</v>
      </c>
    </row>
    <row r="12" spans="3:3" x14ac:dyDescent="0.25">
      <c r="C12" s="215" t="s">
        <v>206</v>
      </c>
    </row>
    <row r="13" spans="3:3" x14ac:dyDescent="0.25">
      <c r="C13" s="215" t="s">
        <v>397</v>
      </c>
    </row>
    <row r="14" spans="3:3" x14ac:dyDescent="0.25">
      <c r="C14" s="215" t="s">
        <v>212</v>
      </c>
    </row>
    <row r="15" spans="3:3" x14ac:dyDescent="0.25">
      <c r="C15" s="215" t="s">
        <v>214</v>
      </c>
    </row>
    <row r="16" spans="3:3" x14ac:dyDescent="0.25">
      <c r="C16" s="215" t="s">
        <v>218</v>
      </c>
    </row>
    <row r="17" spans="3:3" x14ac:dyDescent="0.25">
      <c r="C17" s="215" t="s">
        <v>224</v>
      </c>
    </row>
    <row r="18" spans="3:3" x14ac:dyDescent="0.25">
      <c r="C18" s="215" t="s">
        <v>244</v>
      </c>
    </row>
    <row r="19" spans="3:3" x14ac:dyDescent="0.25">
      <c r="C19" s="215" t="s">
        <v>248</v>
      </c>
    </row>
    <row r="20" spans="3:3" x14ac:dyDescent="0.25">
      <c r="C20" s="215" t="s">
        <v>250</v>
      </c>
    </row>
    <row r="21" spans="3:3" x14ac:dyDescent="0.25">
      <c r="C21" s="215" t="s">
        <v>254</v>
      </c>
    </row>
    <row r="22" spans="3:3" x14ac:dyDescent="0.25">
      <c r="C22" s="215" t="s">
        <v>256</v>
      </c>
    </row>
    <row r="23" spans="3:3" x14ac:dyDescent="0.25">
      <c r="C23" s="215" t="s">
        <v>772</v>
      </c>
    </row>
    <row r="24" spans="3:3" x14ac:dyDescent="0.25">
      <c r="C24" s="215" t="s">
        <v>276</v>
      </c>
    </row>
    <row r="25" spans="3:3" x14ac:dyDescent="0.25">
      <c r="C25" s="215" t="s">
        <v>279</v>
      </c>
    </row>
    <row r="26" spans="3:3" x14ac:dyDescent="0.25">
      <c r="C26" s="215" t="s">
        <v>293</v>
      </c>
    </row>
    <row r="27" spans="3:3" x14ac:dyDescent="0.25">
      <c r="C27" s="215" t="s">
        <v>778</v>
      </c>
    </row>
    <row r="28" spans="3:3" x14ac:dyDescent="0.25">
      <c r="C28" s="215" t="s">
        <v>737</v>
      </c>
    </row>
    <row r="29" spans="3:3" x14ac:dyDescent="0.25">
      <c r="C29" s="215" t="s">
        <v>421</v>
      </c>
    </row>
    <row r="30" spans="3:3" x14ac:dyDescent="0.25">
      <c r="C30" s="215" t="s">
        <v>437</v>
      </c>
    </row>
    <row r="31" spans="3:3" x14ac:dyDescent="0.25">
      <c r="C31" s="215" t="s">
        <v>746</v>
      </c>
    </row>
    <row r="32" spans="3:3" x14ac:dyDescent="0.25">
      <c r="C32" s="215" t="s">
        <v>753</v>
      </c>
    </row>
    <row r="33" spans="3:3" x14ac:dyDescent="0.25">
      <c r="C33" s="215" t="s">
        <v>581</v>
      </c>
    </row>
    <row r="34" spans="3:3" x14ac:dyDescent="0.25">
      <c r="C34" s="215" t="s">
        <v>620</v>
      </c>
    </row>
    <row r="35" spans="3:3" x14ac:dyDescent="0.25">
      <c r="C35" s="215" t="s">
        <v>389</v>
      </c>
    </row>
    <row r="36" spans="3:3" x14ac:dyDescent="0.25">
      <c r="C36" s="215" t="s">
        <v>648</v>
      </c>
    </row>
    <row r="37" spans="3:3" x14ac:dyDescent="0.25">
      <c r="C37" s="215" t="s">
        <v>732</v>
      </c>
    </row>
    <row r="38" spans="3:3" x14ac:dyDescent="0.25">
      <c r="C38" s="215" t="s">
        <v>423</v>
      </c>
    </row>
    <row r="39" spans="3:3" x14ac:dyDescent="0.25">
      <c r="C39" s="215" t="s">
        <v>441</v>
      </c>
    </row>
    <row r="40" spans="3:3" x14ac:dyDescent="0.25">
      <c r="C40" s="215" t="s">
        <v>447</v>
      </c>
    </row>
    <row r="41" spans="3:3" x14ac:dyDescent="0.25">
      <c r="C41" s="215" t="s">
        <v>764</v>
      </c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№1</vt:lpstr>
      <vt:lpstr>Приложение №2</vt:lpstr>
      <vt:lpstr>Лист1</vt:lpstr>
      <vt:lpstr>'Приложение №1'!Область_печати</vt:lpstr>
      <vt:lpstr>'Приложение №2'!Область_печати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Прокопьев_ВЛ</cp:lastModifiedBy>
  <dcterms:modified xsi:type="dcterms:W3CDTF">2024-03-13T01:25:16Z</dcterms:modified>
</cp:coreProperties>
</file>